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20" windowHeight="7320" activeTab="1"/>
  </bookViews>
  <sheets>
    <sheet name="Доходы РМР 2018-2020гг" sheetId="1" r:id="rId1"/>
    <sheet name="Расх РМР 2018-2020 гг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<sst xmlns="http://schemas.openxmlformats.org/spreadsheetml/2006/main" count="418" uniqueCount="282">
  <si>
    <t>01 02 00 00 05 0000 810</t>
  </si>
  <si>
    <t>(тыс. рублей)</t>
  </si>
  <si>
    <t>01 02 00 00 05 0000 710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</si>
  <si>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</si>
  <si>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01 03 01 00 05 0000 710</t>
  </si>
  <si>
    <t>Иные межбюджетные трансферты</t>
  </si>
  <si>
    <t>Обслуживание муниципального долга</t>
  </si>
  <si>
    <t>Периодическая печать и издания</t>
  </si>
  <si>
    <t>Дошкольное образование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</si>
  <si>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</si>
  <si>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Охрана семьи и детства</t>
  </si>
  <si>
    <t>Расходы на судебные издержки и исполнение судебных решений</t>
  </si>
  <si>
    <t>Дотации</t>
  </si>
  <si>
    <t>ДОХОДЫ</t>
  </si>
  <si>
    <t>2012 год</t>
  </si>
  <si>
    <t>2015 год</t>
  </si>
  <si>
    <t>10000000000000000</t>
  </si>
  <si>
    <t xml:space="preserve">Налоговые и неналоговые доходы </t>
  </si>
  <si>
    <t>10102000010000100</t>
  </si>
  <si>
    <t>Налог на доходы физических лиц</t>
  </si>
  <si>
    <t>10302100010000110</t>
  </si>
  <si>
    <t>Акцизы (дорожный фонд)</t>
  </si>
  <si>
    <t>10502000000000100</t>
  </si>
  <si>
    <t xml:space="preserve">Единый налог на вмененный доход </t>
  </si>
  <si>
    <t>10503000000000100</t>
  </si>
  <si>
    <t>Сельхоз.налог</t>
  </si>
  <si>
    <t>10601000000000100</t>
  </si>
  <si>
    <t>Налог на имущество физ. лиц</t>
  </si>
  <si>
    <t>10604000000000100</t>
  </si>
  <si>
    <t>Транспортный налог</t>
  </si>
  <si>
    <t>10606000000000100</t>
  </si>
  <si>
    <t>Земельный налог</t>
  </si>
  <si>
    <t>10800000000000100</t>
  </si>
  <si>
    <t>Госпошлина</t>
  </si>
  <si>
    <t>11105010000000100</t>
  </si>
  <si>
    <t>Арендная плата за земли</t>
  </si>
  <si>
    <t>11105030000000100</t>
  </si>
  <si>
    <t>Аренда имущества и найм</t>
  </si>
  <si>
    <t>11201000010000100</t>
  </si>
  <si>
    <t>Плата за негативное воздействие на окружающую среду</t>
  </si>
  <si>
    <t>11303050050000100</t>
  </si>
  <si>
    <t>Доходы от предпринимательской деятельности</t>
  </si>
  <si>
    <t>11402000000000400</t>
  </si>
  <si>
    <t>Доходы от реализации имущества</t>
  </si>
  <si>
    <t>11600000000000000</t>
  </si>
  <si>
    <t>11600000000000100</t>
  </si>
  <si>
    <t>Штрафы от УВД</t>
  </si>
  <si>
    <t>20000000000000000</t>
  </si>
  <si>
    <t>БЕЗВОЗМЕЗДНЫЕ ПЕРЕЧИСЛЕНИЯ, в том числе:</t>
  </si>
  <si>
    <t>х</t>
  </si>
  <si>
    <t>Субсидии</t>
  </si>
  <si>
    <t xml:space="preserve">Субвенции </t>
  </si>
  <si>
    <t>в том числе на выполнение переданных полномочий в соответствии с заключенными соглашениями</t>
  </si>
  <si>
    <t>в том числе собственные доходы</t>
  </si>
  <si>
    <t>Внутренние обороты</t>
  </si>
  <si>
    <t>ВСЕГО ДОХОДОВ БЕЗ ВНУТРЕННИХ ОБОРОТОВ</t>
  </si>
  <si>
    <t>РАСХОДЫ</t>
  </si>
  <si>
    <t>0100</t>
  </si>
  <si>
    <t>ОБЩЕГОСУДАРСТВЕННЫЕ ВОПРОСЫ</t>
  </si>
  <si>
    <t>0102</t>
  </si>
  <si>
    <t>0103</t>
  </si>
  <si>
    <t>Районное Собрание</t>
  </si>
  <si>
    <t>0104</t>
  </si>
  <si>
    <t xml:space="preserve">Передаваемые полномочия </t>
  </si>
  <si>
    <t>глава администрации Ртищевского МР</t>
  </si>
  <si>
    <t>0106</t>
  </si>
  <si>
    <t>Финансовое управление администрации Ртищевского муниципального района</t>
  </si>
  <si>
    <t>Передаваемые полномочия</t>
  </si>
  <si>
    <t>0107</t>
  </si>
  <si>
    <t>Обеспечение проведения выборов и референдумов</t>
  </si>
  <si>
    <t>0111</t>
  </si>
  <si>
    <t>Резервный фонд</t>
  </si>
  <si>
    <t>0113</t>
  </si>
  <si>
    <t>- налоги</t>
  </si>
  <si>
    <t>Исполнение полномочий, переданных из бюджета МО г.Ртищево, в соответствии с заключенными соглашениями по созданию, содержанию и организации деятельности ЕДДС</t>
  </si>
  <si>
    <t xml:space="preserve">- исполнение полномочий, переданных из бюджетов поселений, в соответствии с заключенными соглашениями на инвентаризацию </t>
  </si>
  <si>
    <t>0200</t>
  </si>
  <si>
    <t>НАЦИОНАЛЬНАЯ ОБОРОНА</t>
  </si>
  <si>
    <t>0203</t>
  </si>
  <si>
    <t>Мобилизационная и вневойсковая подготовка - ВОИНСКИЙ УЧЕТ</t>
  </si>
  <si>
    <t>0300</t>
  </si>
  <si>
    <t>0314</t>
  </si>
  <si>
    <t>в том числе :</t>
  </si>
  <si>
    <t>МЦП "По усилению борьбы с преступностью и охране правопорядка на территории Ртищевского района"</t>
  </si>
  <si>
    <t>МЦП "Профилактика терроризма и экстремизма в Ртищевском районе "</t>
  </si>
  <si>
    <t>Исполнение полномочий , переданных из бюджета МО г.Ртищево, в соответствии с заключенными соглашениями по созданию условий для деятельности добровольных формирований населения по охране общественного порядка                         ( на реализацию МЦП "Профилактика правонарушений в Ртищевском районе ")</t>
  </si>
  <si>
    <t>Исполнение полномочий, переданных из бюджета МО г.Ртищево, в соответствии с заключенными соглашениями на реализацию МЦП "Повышение безопасности дорожного движения в Ртищевском районе"</t>
  </si>
  <si>
    <t>0310</t>
  </si>
  <si>
    <t>Пожарная безопасность</t>
  </si>
  <si>
    <t>Муниципальные программы</t>
  </si>
  <si>
    <t>0400</t>
  </si>
  <si>
    <t>НАЦИОНАЛЬНАЯ ЭКОНОМИКА</t>
  </si>
  <si>
    <t>0409</t>
  </si>
  <si>
    <t>0412</t>
  </si>
  <si>
    <t>0500</t>
  </si>
  <si>
    <t>ЖИЛИЩНО-КОММУНАЛЬНОЕ ХОЗЯЙСТВО</t>
  </si>
  <si>
    <t>0501</t>
  </si>
  <si>
    <t>Жилищное хозяйство, в том числе:</t>
  </si>
  <si>
    <t>реализация 185-ФЗ (кап.ремонт)</t>
  </si>
  <si>
    <t>0502</t>
  </si>
  <si>
    <t xml:space="preserve">Исполнение полномочий, переданных из бюджета МО г.Ртищево, в соответствии с заключенными соглашениями на организацию водоснабжения в границах поселений </t>
  </si>
  <si>
    <t xml:space="preserve">Исполнение полномочий, переданных из бюджетов поселений, в соответствии с заключенными соглашениями на организацию водоснабжения в границах поселений </t>
  </si>
  <si>
    <t>0503</t>
  </si>
  <si>
    <t>Благоустройство, в т.ч.</t>
  </si>
  <si>
    <t>Исполнение полномочий, переданных из бюджета МО г.Ртищево, в соответствии с заключенными соглашениями на освещение улиц</t>
  </si>
  <si>
    <t>озеленение</t>
  </si>
  <si>
    <t>содержание мест захоронений</t>
  </si>
  <si>
    <t>прочие расходы по благоустройству</t>
  </si>
  <si>
    <t>Исполнение полномочий, переданных из бюджета МО г.Ртищево, в соответствии с заключенными соглашениями  на прочее благоустройство</t>
  </si>
  <si>
    <t>Исполнение полномочий, переданных из бюджета МО г.Ртищево, в соответствии с заключенными соглашениями  на организацию благоустройства территории (на реализацию МЦП  "Комплексное благоустройство")</t>
  </si>
  <si>
    <t>0600</t>
  </si>
  <si>
    <t>ОХРАНА ОКРУЖАЮЩЕЙ СРЕДЫ</t>
  </si>
  <si>
    <t>0605</t>
  </si>
  <si>
    <t>Другие вопросы в области охраны окружающей среды- Муниципальные программы</t>
  </si>
  <si>
    <t>0700</t>
  </si>
  <si>
    <t xml:space="preserve">Управление образования администрации РМР </t>
  </si>
  <si>
    <t>зарплата и начисления на оплату труда</t>
  </si>
  <si>
    <t>налог на имущество</t>
  </si>
  <si>
    <t>транспортный налог</t>
  </si>
  <si>
    <t>0701</t>
  </si>
  <si>
    <t>0702</t>
  </si>
  <si>
    <t>в том числе:</t>
  </si>
  <si>
    <t xml:space="preserve">ДЮСШ </t>
  </si>
  <si>
    <t xml:space="preserve">Исполнение полномочий, переданных из бюджета МО г.Ртищево, в соответствии с заключенными соглашениями на развитие физической культуры и спорта (обеспечение деятельности ДЮСШ) </t>
  </si>
  <si>
    <t>0705</t>
  </si>
  <si>
    <t>Курсы</t>
  </si>
  <si>
    <t>Управление общего образования</t>
  </si>
  <si>
    <t>ММУ "ЦРБ"</t>
  </si>
  <si>
    <t>0707</t>
  </si>
  <si>
    <t>Мероприятия по проведению оздоровительной кампании детей</t>
  </si>
  <si>
    <t>Обеспечение деятельности подведомственных учреждений (ДОЛ "Ясный")</t>
  </si>
  <si>
    <t>Муниципальные программы, в т.ч.</t>
  </si>
  <si>
    <t>0709</t>
  </si>
  <si>
    <t>Центральный аппарат</t>
  </si>
  <si>
    <t xml:space="preserve">Учебно-методические кабинеты, централизованные бухгалтерии, хозяйственные группы </t>
  </si>
  <si>
    <t>МЦП "Развитие дошкольного образования Ртищевского муниципального района" (строит-во детсада по ул.Октябрьской в г.Ртищево)</t>
  </si>
  <si>
    <t>0800</t>
  </si>
  <si>
    <t>0801</t>
  </si>
  <si>
    <t>- подписка</t>
  </si>
  <si>
    <t>0804</t>
  </si>
  <si>
    <t xml:space="preserve">Центральный аппарат 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</si>
  <si>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</si>
  <si>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</si>
  <si>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</si>
  <si>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</si>
  <si>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</si>
  <si>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 (в том числе 2000,0 т.р. средства местного бюджета на прочие расходы)</t>
  </si>
  <si>
    <t>0904</t>
  </si>
  <si>
    <t>Скорая медицинская помощь (в том числе 2000,0 т.р.  средства местного бюджета  на гсм)</t>
  </si>
  <si>
    <t>0909</t>
  </si>
  <si>
    <t>Другие вопросы в области здравоохранения и спорта</t>
  </si>
  <si>
    <t>налогов не ставили</t>
  </si>
  <si>
    <t>1000</t>
  </si>
  <si>
    <t>СОЦИАЛЬНАЯ ПОЛИТИКА</t>
  </si>
  <si>
    <t>1001</t>
  </si>
  <si>
    <t>1003</t>
  </si>
  <si>
    <t xml:space="preserve"> - доплата работникам д/садов</t>
  </si>
  <si>
    <t>1004</t>
  </si>
  <si>
    <t>1100</t>
  </si>
  <si>
    <t>ФИЗИЧЕСКАЯ КУЛЬТУРА И СПОРТ</t>
  </si>
  <si>
    <t>1101</t>
  </si>
  <si>
    <t xml:space="preserve">Физическая культура, в т.ч.: </t>
  </si>
  <si>
    <t>Налоги</t>
  </si>
  <si>
    <t xml:space="preserve">Исполнение полномочий, переданных из бюджета МО г.Ртищево, в соответствии с заключенными соглашениями на развитие физической культуры и спорта (обеспечение деятельности МСК "Локомотив" с учетом налогов 2000,1 тыс.руб.) </t>
  </si>
  <si>
    <t>1105</t>
  </si>
  <si>
    <t>Другие вопросы в области физкультуры и спорта, в том числе:</t>
  </si>
  <si>
    <t>1200</t>
  </si>
  <si>
    <t>СРЕДСТВА МАССОВОЙ ИНФОРМАЦИИ</t>
  </si>
  <si>
    <t>1202</t>
  </si>
  <si>
    <t>1300</t>
  </si>
  <si>
    <t>ОБСЛУЖИВАНИЕ МУНИЦИПАЛЬНОГО ДОЛГА</t>
  </si>
  <si>
    <t>1301</t>
  </si>
  <si>
    <t>1400</t>
  </si>
  <si>
    <t>1401</t>
  </si>
  <si>
    <t>Дотации на выравнивание бюджетной обеспеченности поселений, из них :</t>
  </si>
  <si>
    <t>Дотации на выравнивание бюджетной обеспеченности поселений из фонда финансовой поддержки Ртищевского района</t>
  </si>
  <si>
    <t>Дотации на выравнивание бюджетной обеспеченности поселений за счет субвенции из областного фонда компенсаций</t>
  </si>
  <si>
    <t>1403</t>
  </si>
  <si>
    <t>в том числе внутренние обороты:</t>
  </si>
  <si>
    <t>ВСЕГО РАСХОДОВ БЕЗ ВНУТРЕННИХ ОБОРОТОВ</t>
  </si>
  <si>
    <t>РЕЗУЛЬТАТ ИСПОЛНЕНИЯ (ПРОФИЦИТ+, Дефицит-)</t>
  </si>
  <si>
    <t>ИСТОЧНИКИ ВНУТРЕННЕГО ФИНАНСИРОВАНИЯ ДЕФИЦИТА БЮДЖЕТА, ВСЕГО:</t>
  </si>
  <si>
    <t>Получение кредитов от кредитных организаций в валюте Российской Федерации</t>
  </si>
  <si>
    <t>Погашение кредитов, полученных от кредитных организаций в валюте Российской Федерации</t>
  </si>
  <si>
    <t>01 03 01 00 00 0000 810</t>
  </si>
  <si>
    <t>Изменение остатков средств бюджета</t>
  </si>
  <si>
    <t>Штрафы, санкции, возмещение ущерба, из них:</t>
  </si>
  <si>
    <t>субсидия из областного бюджета на проектирование и строительство автомобильных дорог общего пользования</t>
  </si>
  <si>
    <t>субсидия из областного бюджета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</si>
  <si>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налог на имущество и транспортный налог</t>
  </si>
  <si>
    <t>2017 год</t>
  </si>
  <si>
    <t>Код по бюджетной классификации</t>
  </si>
  <si>
    <t>20215000000000151</t>
  </si>
  <si>
    <t>20220000000000151</t>
  </si>
  <si>
    <t>20230000000000151</t>
  </si>
  <si>
    <t>20240000000000151</t>
  </si>
  <si>
    <t>0405</t>
  </si>
  <si>
    <t>Субвенция из областного бюджета на проведение мероприятий по отлову и содержанию безнадзорных животных</t>
  </si>
  <si>
    <t>Капитальный ремонт, ремонт и содержание автомобильных дорог общего пользования местного значения за счет средств местного бюджета (Софинансирование)</t>
  </si>
  <si>
    <t>Распределение  доходов  бюджета Ртищевского муниципального района на 2018 год и на плановый период 2019 и 2020 годов</t>
  </si>
  <si>
    <t>Удельный вес в общей сумме доходов 2018 года, %</t>
  </si>
  <si>
    <t>Уд. вес в налоговых и неналоговых доходах района 2018 года, %</t>
  </si>
  <si>
    <t>Отклонения   2018 года от  2017 года, тыс.руб.</t>
  </si>
  <si>
    <t>Динамика  2018 года к 2017 году,  %</t>
  </si>
  <si>
    <t>Удельный вес в общей сумме доходов 2019 года, %</t>
  </si>
  <si>
    <t>Уд. вес в налоговых и неналоговых доходах района 2019 года, %</t>
  </si>
  <si>
    <t>Отклонения 2019 года от 2018 года, тыс.руб.</t>
  </si>
  <si>
    <t>Динамика  2019 года к 2018 году,  %</t>
  </si>
  <si>
    <t>Удельный вес в общей сумме доходов 2020 года, %</t>
  </si>
  <si>
    <t>Уд. вес в налоговых и неналоговых доходах района 2020 года, %</t>
  </si>
  <si>
    <t>Динамика  2020 года к 2019 году,  %</t>
  </si>
  <si>
    <t>Отклонения 2020 года от 2019 года, тыс.руб.</t>
  </si>
  <si>
    <t>2018 год</t>
  </si>
  <si>
    <t>2019 год</t>
  </si>
  <si>
    <t>2020 год</t>
  </si>
  <si>
    <t>9=4-3</t>
  </si>
  <si>
    <t>10=(4/3)*100%</t>
  </si>
  <si>
    <t>13=5-4</t>
  </si>
  <si>
    <t>14=(5/4)*100%</t>
  </si>
  <si>
    <t>17=(6/5)*100%</t>
  </si>
  <si>
    <t>18=6-5</t>
  </si>
  <si>
    <t>Бюджет Муниципального района,    сумма, тыс. рублей</t>
  </si>
  <si>
    <t>Распределение  расходов  бюджета Ртищевского муниципального района на 2018 год и на плановый период 2019 и 2020 годов</t>
  </si>
  <si>
    <t xml:space="preserve">Удельный вес в
общей сумме
расходов, на 2018 год, %
</t>
  </si>
  <si>
    <t xml:space="preserve">Отклонение 2018 года от 2017 год, тыс. рублей
</t>
  </si>
  <si>
    <t xml:space="preserve">Удельный вес в
общей сумме
расходов, на 2019 год, %
</t>
  </si>
  <si>
    <t xml:space="preserve">Отклонение 2019 года от 2018 год, тыс. рублей
</t>
  </si>
  <si>
    <t xml:space="preserve">Удельный вес в
общей сумме
расходов, на 2020 год, %
</t>
  </si>
  <si>
    <t xml:space="preserve">Отклонение 2020 года от 2019 год, тыс. рублей
</t>
  </si>
  <si>
    <t>8=(4/3)*100%</t>
  </si>
  <si>
    <t>11=(5/4)*100%</t>
  </si>
  <si>
    <t>12=5-4</t>
  </si>
  <si>
    <t>14+(6/5)*100%</t>
  </si>
  <si>
    <t>15=6-5</t>
  </si>
  <si>
    <t>Выполнение других обязательств муниципального образования</t>
  </si>
  <si>
    <t>Мероприятия в сфере управления имуществом муниципального образования</t>
  </si>
  <si>
    <t>0703</t>
  </si>
  <si>
    <t>Другие общегосударственные вопросы, в том числе:</t>
  </si>
  <si>
    <t>Муниципальное учреждение "Административно-хозяйственная группа администрации Ртищевского муниципального района", из них:</t>
  </si>
  <si>
    <t>Муниципальное учреждение "Централизованная бухгалтерия администрации Ртищевского муниципального района"</t>
  </si>
  <si>
    <t>Уплата членских взносов в Ассоциацию "Совет муниципальных образований Саратовской области"</t>
  </si>
  <si>
    <t>Оценка недвижимости, признание прав и регулирование отношений по муниципальной собственности</t>
  </si>
  <si>
    <t>- содержание отдела субсидий за счет средств областного бюджета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</si>
  <si>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 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  (дорожные знаки и разметка)</t>
  </si>
  <si>
    <t>Другие вопросы в области национальной безопасности и правоохранительной деятельности, в том числе:</t>
  </si>
  <si>
    <t>Сельское хозяйство и рыболовство, в том числе:</t>
  </si>
  <si>
    <r>
      <t xml:space="preserve">"Развитие транспортной системы в Ртищевском муниципальном районе на 2017-2020 годы"МП Подпрограмма "Ремонт автомобильных дорог и искусственных сооружений на них в границах городских и сельских поселений" за счет средств муниципального дорожного фонда </t>
    </r>
    <r>
      <rPr>
        <sz val="14"/>
        <color indexed="9"/>
        <rFont val="Times New Roman"/>
        <family val="1"/>
      </rPr>
      <t>(акцизы РМР+ акцизы поселений+ налоговые и неналоговые доходы РМР)</t>
    </r>
  </si>
  <si>
    <t>Дорожное хозяйство, в том числе:</t>
  </si>
  <si>
    <t>Другие вопросы в области нац.экономики, в том числе:</t>
  </si>
  <si>
    <t>Мероприятия по землеустройству и землепользованию</t>
  </si>
  <si>
    <t>Муниципальная программа "Обеспечение населения доступным жильем и развитие жилищно-коммунальной инфраструктуры на 2014-2020 годы" Подпрограмма "Градостроительное планирование развития территорий поселений Ртищевского муниципального района на 2014 - 2020 годы"</t>
  </si>
  <si>
    <t>Капитальный ремонт муниципального жилищного фонда</t>
  </si>
  <si>
    <t>Коммунальное хозяйство, в том числе:</t>
  </si>
  <si>
    <t>Муниципальная программа "Обеспечение населения доступным жильем и развитие жилищно-коммунальной инфраструктуры на 2014-2020 годы" Подпрограмма "Модернизация коммунальной инфраструктуры Ртищевского муниципального района ", из них:</t>
  </si>
  <si>
    <t>ОБРАЗОВАНИЕ</t>
  </si>
  <si>
    <t>Общее образование,в том числе:</t>
  </si>
  <si>
    <t>Управление общего образования, из них:</t>
  </si>
  <si>
    <t>Дополнительное образование детей, в том числе:</t>
  </si>
  <si>
    <t>Детская школа искусств, из них:</t>
  </si>
  <si>
    <t>Молодежная политика и оздоровление детей,в том числе:</t>
  </si>
  <si>
    <t>Другие вопросы в области образования,в том числе:</t>
  </si>
  <si>
    <t>Реализация мероприятий муниципальной программы "Развитие системы образования на территории Ртищевского муниципального района на 2018 - 2020 годы"</t>
  </si>
  <si>
    <t>Культура, в том числе :</t>
  </si>
  <si>
    <t xml:space="preserve">КУЛЬТУРА, КИНЕМАТОГРАФИЯ </t>
  </si>
  <si>
    <t>Развитие библиотечной системы и культурно – досуговая  деятельность, из них:</t>
  </si>
  <si>
    <t>Другие вопросы в области культуры,в том числе:</t>
  </si>
  <si>
    <t xml:space="preserve">Реализация мероприятий муниципальной программы «Культура Ртищевского муниципального района на 2017 – 2020 годы»
</t>
  </si>
  <si>
    <t>Пенсионное обеспечение (доплаты к пенсиям муниципальных служащих)</t>
  </si>
  <si>
    <t>Социальное обеспечение населения, в том числе:</t>
  </si>
  <si>
    <t xml:space="preserve"> Субсидии гражданам на оплату жилого помещения и коммунальных услуг  </t>
  </si>
  <si>
    <t xml:space="preserve">  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</si>
  <si>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 xml:space="preserve"> Муниципальная программа "Обеспечение населения доступным жильем и развитие жилищно-коммунальной инфраструктуры на 2014-2020 годы" Подпрограмма "Обеспечение жилыми помещениями молодых семей"</t>
  </si>
  <si>
    <t>Функционирование высшего должностного лица муниципального образования</t>
  </si>
  <si>
    <t>Функционирование местной администрации</t>
  </si>
  <si>
    <t>Финансовые органы и органы финансово - бюджетного надзора, в том числе:</t>
  </si>
  <si>
    <t>Контрольно-счетный орган администрации Ртищевского муниципального района</t>
  </si>
  <si>
    <t xml:space="preserve">Отдел по управлению имуществом администрации Ртищевского муниципального района, из них:                                                                 </t>
  </si>
  <si>
    <t>Муниципальная программа "Развитие системы образования на территории Ртищевского муниципального района на 2018 - 2020 годы" Основное мероприятие "Осуществление подвоза детей к месту отдыха (МУ ДОЛ «Ясный»)"; Основное мероприятие "Обеспечение временной трудовой занятости подростков общеобразовательных организаций в летний период"</t>
  </si>
  <si>
    <t>НАЦИОНАЛЬНАЯ БЕЗОПАСНОСТЬ И ПРАВООХРАНИТЕЛЬНАЯ ДЕЯТЕЛЬНОСТЬ</t>
  </si>
  <si>
    <t>МЕЖБЮДЖЕТНЫЕ ТРАНСФЕРТЫ ОБЩЕГО ХАРАКТЕРА БЮДЖЕТАМ СУБЪЕКТОВ РОССИЙСКОЙ ФЕДЕРАЦИИ И МУНИЦИПАЛЬНЫХ ОБРАЗОВАНИЙ</t>
  </si>
  <si>
    <t>ВСЕГО ДОХОДОВ</t>
  </si>
  <si>
    <t>ВСЕГО РАСХОДОВ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</si>
</sst>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000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* #,##0.000_);_(* \(#,##0.000\);_(* &quot;-&quot;??_);_(@_)"/>
    <numFmt numFmtId="180" formatCode="_(* #,##0.0_);_(* \(#,##0.0\);_(* &quot;-&quot;??_);_(@_)"/>
    <numFmt numFmtId="181" formatCode="_-* #,##0.0_р_._-;\-* #,##0.0_р_._-;_-* &quot;-&quot;?_р_._-;_-@_-"/>
    <numFmt numFmtId="182" formatCode="0.0"/>
    <numFmt numFmtId="183" formatCode="0.0%"/>
    <numFmt numFmtId="184" formatCode="_(* #,##0_);_(* \(#,##0\);_(* &quot;-&quot;??_);_(@_)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_ ;\-#,##0.00\ "/>
    <numFmt numFmtId="193" formatCode="#,##0.00;[Red]\-#,##0.00;0.00"/>
    <numFmt numFmtId="194" formatCode="00\.00\.00"/>
    <numFmt numFmtId="195" formatCode="000"/>
    <numFmt numFmtId="196" formatCode="0000000"/>
    <numFmt numFmtId="197" formatCode="#,##0.00_ ;[Red]\-#,##0.00\ "/>
    <numFmt numFmtId="198" formatCode="000000000"/>
    <numFmt numFmtId="199" formatCode="#,##0.000"/>
    <numFmt numFmtId="200" formatCode="#,##0.000_ ;\-#,##0.00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0" fontId="4" fillId="0" borderId="10" xfId="73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80" fontId="3" fillId="0" borderId="0" xfId="0" applyNumberFormat="1" applyFont="1" applyFill="1" applyAlignment="1">
      <alignment horizontal="left" vertical="center" wrapText="1"/>
    </xf>
    <xf numFmtId="172" fontId="3" fillId="0" borderId="10" xfId="7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72" fontId="4" fillId="0" borderId="10" xfId="73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72" fontId="5" fillId="0" borderId="10" xfId="73" applyNumberFormat="1" applyFont="1" applyFill="1" applyBorder="1" applyAlignment="1">
      <alignment horizontal="right" vertical="top" wrapText="1"/>
    </xf>
    <xf numFmtId="172" fontId="5" fillId="0" borderId="0" xfId="0" applyNumberFormat="1" applyFont="1" applyFill="1" applyAlignment="1">
      <alignment vertical="top" wrapText="1"/>
    </xf>
    <xf numFmtId="172" fontId="5" fillId="0" borderId="10" xfId="73" applyNumberFormat="1" applyFont="1" applyFill="1" applyBorder="1" applyAlignment="1">
      <alignment horizontal="right" wrapText="1"/>
    </xf>
    <xf numFmtId="180" fontId="5" fillId="0" borderId="10" xfId="73" applyNumberFormat="1" applyFont="1" applyFill="1" applyBorder="1" applyAlignment="1">
      <alignment horizontal="right" wrapText="1"/>
    </xf>
    <xf numFmtId="180" fontId="4" fillId="0" borderId="10" xfId="73" applyNumberFormat="1" applyFont="1" applyFill="1" applyBorder="1" applyAlignment="1">
      <alignment horizontal="right" wrapText="1"/>
    </xf>
    <xf numFmtId="180" fontId="5" fillId="0" borderId="0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right" vertical="top" wrapText="1"/>
    </xf>
    <xf numFmtId="180" fontId="5" fillId="0" borderId="0" xfId="0" applyNumberFormat="1" applyFont="1" applyFill="1" applyAlignment="1">
      <alignment horizontal="right" vertical="center" wrapText="1"/>
    </xf>
    <xf numFmtId="180" fontId="3" fillId="0" borderId="0" xfId="0" applyNumberFormat="1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72" fontId="4" fillId="33" borderId="10" xfId="73" applyNumberFormat="1" applyFont="1" applyFill="1" applyBorder="1" applyAlignment="1">
      <alignment vertical="top" wrapText="1"/>
    </xf>
    <xf numFmtId="172" fontId="4" fillId="33" borderId="10" xfId="73" applyNumberFormat="1" applyFont="1" applyFill="1" applyBorder="1" applyAlignment="1">
      <alignment horizontal="right" vertical="top" wrapText="1"/>
    </xf>
    <xf numFmtId="172" fontId="3" fillId="33" borderId="10" xfId="73" applyNumberFormat="1" applyFont="1" applyFill="1" applyBorder="1" applyAlignment="1">
      <alignment horizontal="left" vertical="top" wrapText="1"/>
    </xf>
    <xf numFmtId="183" fontId="3" fillId="33" borderId="10" xfId="73" applyNumberFormat="1" applyFont="1" applyFill="1" applyBorder="1" applyAlignment="1">
      <alignment horizontal="left" vertical="top" wrapText="1"/>
    </xf>
    <xf numFmtId="183" fontId="3" fillId="33" borderId="10" xfId="0" applyNumberFormat="1" applyFont="1" applyFill="1" applyBorder="1" applyAlignment="1">
      <alignment horizontal="left" vertical="top" wrapText="1"/>
    </xf>
    <xf numFmtId="172" fontId="3" fillId="33" borderId="10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72" fontId="5" fillId="0" borderId="10" xfId="73" applyNumberFormat="1" applyFont="1" applyFill="1" applyBorder="1" applyAlignment="1">
      <alignment vertical="top" wrapText="1"/>
    </xf>
    <xf numFmtId="172" fontId="6" fillId="0" borderId="10" xfId="73" applyNumberFormat="1" applyFont="1" applyFill="1" applyBorder="1" applyAlignment="1">
      <alignment horizontal="left" vertical="top" wrapText="1"/>
    </xf>
    <xf numFmtId="172" fontId="6" fillId="0" borderId="12" xfId="0" applyNumberFormat="1" applyFont="1" applyFill="1" applyBorder="1" applyAlignment="1">
      <alignment horizontal="left" vertical="top" wrapText="1"/>
    </xf>
    <xf numFmtId="172" fontId="6" fillId="0" borderId="13" xfId="0" applyNumberFormat="1" applyFont="1" applyFill="1" applyBorder="1" applyAlignment="1">
      <alignment horizontal="left" vertical="top" wrapText="1"/>
    </xf>
    <xf numFmtId="183" fontId="6" fillId="0" borderId="10" xfId="73" applyNumberFormat="1" applyFont="1" applyFill="1" applyBorder="1" applyAlignment="1">
      <alignment horizontal="left" vertical="top" wrapText="1"/>
    </xf>
    <xf numFmtId="183" fontId="3" fillId="0" borderId="10" xfId="73" applyNumberFormat="1" applyFont="1" applyFill="1" applyBorder="1" applyAlignment="1">
      <alignment horizontal="left" vertical="top" wrapText="1"/>
    </xf>
    <xf numFmtId="183" fontId="6" fillId="0" borderId="10" xfId="0" applyNumberFormat="1" applyFont="1" applyFill="1" applyBorder="1" applyAlignment="1">
      <alignment horizontal="left" vertical="top" wrapText="1"/>
    </xf>
    <xf numFmtId="172" fontId="6" fillId="0" borderId="10" xfId="0" applyNumberFormat="1" applyFont="1" applyFill="1" applyBorder="1" applyAlignment="1">
      <alignment horizontal="left" vertical="top" wrapText="1"/>
    </xf>
    <xf numFmtId="183" fontId="3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top" wrapText="1"/>
    </xf>
    <xf numFmtId="172" fontId="6" fillId="0" borderId="12" xfId="0" applyNumberFormat="1" applyFont="1" applyFill="1" applyBorder="1" applyAlignment="1">
      <alignment horizontal="left" wrapText="1"/>
    </xf>
    <xf numFmtId="172" fontId="6" fillId="0" borderId="13" xfId="0" applyNumberFormat="1" applyFont="1" applyFill="1" applyBorder="1" applyAlignment="1">
      <alignment horizontal="left" wrapText="1"/>
    </xf>
    <xf numFmtId="182" fontId="6" fillId="0" borderId="10" xfId="0" applyNumberFormat="1" applyFont="1" applyFill="1" applyBorder="1" applyAlignment="1">
      <alignment vertical="top" wrapText="1"/>
    </xf>
    <xf numFmtId="172" fontId="3" fillId="0" borderId="10" xfId="73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172" fontId="5" fillId="33" borderId="10" xfId="73" applyNumberFormat="1" applyFont="1" applyFill="1" applyBorder="1" applyAlignment="1">
      <alignment horizontal="right" vertical="top" wrapText="1"/>
    </xf>
    <xf numFmtId="172" fontId="5" fillId="0" borderId="0" xfId="0" applyNumberFormat="1" applyFont="1" applyFill="1" applyAlignment="1">
      <alignment horizontal="left" vertical="top" wrapText="1"/>
    </xf>
    <xf numFmtId="172" fontId="4" fillId="0" borderId="10" xfId="73" applyNumberFormat="1" applyFont="1" applyFill="1" applyBorder="1" applyAlignment="1">
      <alignment horizontal="right" wrapText="1"/>
    </xf>
    <xf numFmtId="180" fontId="5" fillId="33" borderId="10" xfId="73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0" fontId="5" fillId="0" borderId="10" xfId="73" applyNumberFormat="1" applyFont="1" applyFill="1" applyBorder="1" applyAlignment="1">
      <alignment wrapText="1"/>
    </xf>
    <xf numFmtId="172" fontId="6" fillId="0" borderId="10" xfId="73" applyNumberFormat="1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80" fontId="4" fillId="33" borderId="10" xfId="73" applyNumberFormat="1" applyFont="1" applyFill="1" applyBorder="1" applyAlignment="1">
      <alignment wrapText="1"/>
    </xf>
    <xf numFmtId="172" fontId="5" fillId="33" borderId="10" xfId="73" applyNumberFormat="1" applyFont="1" applyFill="1" applyBorder="1" applyAlignment="1">
      <alignment horizontal="right" wrapText="1"/>
    </xf>
    <xf numFmtId="172" fontId="3" fillId="33" borderId="10" xfId="73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80" fontId="6" fillId="0" borderId="10" xfId="73" applyNumberFormat="1" applyFont="1" applyFill="1" applyBorder="1" applyAlignment="1">
      <alignment wrapText="1"/>
    </xf>
    <xf numFmtId="180" fontId="6" fillId="0" borderId="10" xfId="73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80" fontId="6" fillId="0" borderId="0" xfId="0" applyNumberFormat="1" applyFont="1" applyFill="1" applyAlignment="1">
      <alignment horizontal="left" vertical="center" wrapText="1"/>
    </xf>
    <xf numFmtId="180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right" vertical="center" wrapText="1"/>
    </xf>
    <xf numFmtId="183" fontId="3" fillId="33" borderId="10" xfId="73" applyNumberFormat="1" applyFont="1" applyFill="1" applyBorder="1" applyAlignment="1">
      <alignment horizontal="right" wrapText="1"/>
    </xf>
    <xf numFmtId="182" fontId="3" fillId="33" borderId="0" xfId="0" applyNumberFormat="1" applyFont="1" applyFill="1" applyAlignment="1">
      <alignment horizontal="left" vertical="top" wrapText="1"/>
    </xf>
    <xf numFmtId="172" fontId="49" fillId="33" borderId="14" xfId="0" applyNumberFormat="1" applyFont="1" applyFill="1" applyBorder="1" applyAlignment="1">
      <alignment horizontal="center"/>
    </xf>
    <xf numFmtId="172" fontId="49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172" fontId="4" fillId="0" borderId="13" xfId="0" applyNumberFormat="1" applyFont="1" applyFill="1" applyBorder="1" applyAlignment="1">
      <alignment horizontal="center" shrinkToFit="1"/>
    </xf>
    <xf numFmtId="183" fontId="4" fillId="0" borderId="10" xfId="73" applyNumberFormat="1" applyFont="1" applyFill="1" applyBorder="1" applyAlignment="1">
      <alignment horizontal="right" wrapText="1"/>
    </xf>
    <xf numFmtId="182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172" fontId="50" fillId="0" borderId="14" xfId="0" applyNumberFormat="1" applyFont="1" applyFill="1" applyBorder="1" applyAlignment="1">
      <alignment horizontal="center"/>
    </xf>
    <xf numFmtId="172" fontId="50" fillId="0" borderId="10" xfId="0" applyNumberFormat="1" applyFont="1" applyFill="1" applyBorder="1" applyAlignment="1">
      <alignment horizontal="center"/>
    </xf>
    <xf numFmtId="183" fontId="6" fillId="0" borderId="10" xfId="73" applyNumberFormat="1" applyFont="1" applyFill="1" applyBorder="1" applyAlignment="1">
      <alignment horizontal="right" wrapText="1"/>
    </xf>
    <xf numFmtId="182" fontId="6" fillId="0" borderId="0" xfId="0" applyNumberFormat="1" applyFont="1" applyFill="1" applyAlignment="1">
      <alignment horizontal="left" vertical="top" wrapText="1"/>
    </xf>
    <xf numFmtId="172" fontId="49" fillId="0" borderId="14" xfId="0" applyNumberFormat="1" applyFont="1" applyFill="1" applyBorder="1" applyAlignment="1">
      <alignment horizontal="center"/>
    </xf>
    <xf numFmtId="172" fontId="49" fillId="0" borderId="10" xfId="0" applyNumberFormat="1" applyFont="1" applyFill="1" applyBorder="1" applyAlignment="1">
      <alignment horizontal="center"/>
    </xf>
    <xf numFmtId="183" fontId="3" fillId="0" borderId="10" xfId="73" applyNumberFormat="1" applyFont="1" applyFill="1" applyBorder="1" applyAlignment="1">
      <alignment horizontal="right" wrapText="1"/>
    </xf>
    <xf numFmtId="182" fontId="3" fillId="0" borderId="0" xfId="0" applyNumberFormat="1" applyFont="1" applyFill="1" applyAlignment="1">
      <alignment horizontal="left" vertical="top" wrapText="1"/>
    </xf>
    <xf numFmtId="183" fontId="5" fillId="0" borderId="10" xfId="73" applyNumberFormat="1" applyFont="1" applyFill="1" applyBorder="1" applyAlignment="1">
      <alignment horizontal="right" wrapText="1"/>
    </xf>
    <xf numFmtId="182" fontId="5" fillId="0" borderId="0" xfId="0" applyNumberFormat="1" applyFont="1" applyFill="1" applyAlignment="1">
      <alignment horizontal="left" vertical="top" wrapText="1"/>
    </xf>
    <xf numFmtId="172" fontId="51" fillId="0" borderId="14" xfId="0" applyNumberFormat="1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180" fontId="4" fillId="33" borderId="10" xfId="7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52" fillId="0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wrapText="1"/>
    </xf>
    <xf numFmtId="49" fontId="52" fillId="0" borderId="16" xfId="0" applyNumberFormat="1" applyFont="1" applyFill="1" applyBorder="1" applyAlignment="1">
      <alignment horizont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30" xfId="60"/>
    <cellStyle name="Обычный 4" xfId="61"/>
    <cellStyle name="Обычный 5" xfId="62"/>
    <cellStyle name="Обычный 6" xfId="63"/>
    <cellStyle name="Обычный 7" xfId="64"/>
    <cellStyle name="Обычный 9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ihina\&#1084;&#1086;&#1080;%20&#1076;&#1086;&#1082;&#1091;&#1084;&#1077;&#1085;&#1090;&#1099;\Documents%20and%20Settings\User\&#1052;&#1086;&#1080;%20&#1076;&#1086;&#1082;&#1091;&#1084;&#1077;&#1085;&#1090;&#1099;\&#1053;&#1086;&#1074;&#1086;&#1077;%20&#1089;%202014\&#1041;&#1070;&#1044;&#1046;&#1045;&#1058;%20&#1085;&#1072;%202014%20&#1075;&#1086;&#1076;\&#1041;&#1102;&#1076;&#1078;&#1077;&#1090;&#1099;%20&#1087;&#1086;&#1089;&#1077;&#1083;&#1077;&#1085;&#1080;&#1081;%20&#1085;&#1072;%202014\&#1055;&#1088;&#1086;&#1077;&#1082;&#1090;%20&#1056;&#1052;&#1056;\&#1055;&#1088;&#1086;&#1077;&#1082;&#1090;%20&#1073;&#1102;&#1076;&#1078;%20&#1056;&#1052;&#1056;%202014\&#1055;&#1088;&#1086;&#1077;&#1082;&#1090;%20&#1076;&#1083;&#1103;%20&#1057;&#1086;&#1073;&#1088;&#1072;&#1085;&#1080;&#1103;\&#1053;&#1086;&#1074;&#1099;&#1077;%20&#1050;&#1062;&#1057;&#1056;%20&#1044;&#1083;&#1103;%20&#1057;&#1086;&#1073;&#1088;&#1072;&#1085;&#1080;&#1103;%20&#1055;&#1088;&#1086;&#1077;&#1082;&#1090;%20&#1073;&#1102;&#1076;&#1078;&#1077;&#1090;&#1072;%20&#1085;&#1072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. МР"/>
      <sheetName val="расх МР"/>
      <sheetName val="конс.дох"/>
      <sheetName val="конс.расх по пос"/>
      <sheetName val="конс.расх для депут"/>
      <sheetName val="Прил 1 Безвозм"/>
      <sheetName val="Прил 2 Доходы"/>
      <sheetName val="Пр 6 Ведомств"/>
      <sheetName val="Прил 7 Разд.Подр"/>
      <sheetName val="Прил 8 МЦП "/>
      <sheetName val="Прил 11-Дотация РМР2289,9"/>
      <sheetName val="Прил 12-Дотация обл-2052,6"/>
      <sheetName val="Прил 13-Иные МТБ 6416,9"/>
      <sheetName val="Прил 14 Субв ВУС 851,4"/>
      <sheetName val="Прил 15 Источники"/>
      <sheetName val="Прил 16 Заимствования"/>
      <sheetName val="Прил 17 Гарантии"/>
      <sheetName val="Полномочия"/>
    </sheetNames>
    <sheetDataSet>
      <sheetData sheetId="0">
        <row r="31">
          <cell r="C31">
            <v>635112.4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93"/>
  <sheetViews>
    <sheetView view="pageBreakPreview" zoomScale="75" zoomScaleSheetLayoutView="75" zoomScalePageLayoutView="0" workbookViewId="0" topLeftCell="A1">
      <selection activeCell="B35" sqref="B35"/>
    </sheetView>
  </sheetViews>
  <sheetFormatPr defaultColWidth="9.140625" defaultRowHeight="12.75"/>
  <cols>
    <col min="1" max="1" width="28.57421875" style="12" customWidth="1"/>
    <col min="2" max="2" width="80.421875" style="28" customWidth="1"/>
    <col min="3" max="3" width="25.28125" style="28" hidden="1" customWidth="1"/>
    <col min="4" max="4" width="14.140625" style="29" hidden="1" customWidth="1"/>
    <col min="5" max="5" width="15.421875" style="28" hidden="1" customWidth="1"/>
    <col min="6" max="6" width="15.421875" style="28" customWidth="1"/>
    <col min="7" max="7" width="15.7109375" style="28" customWidth="1"/>
    <col min="8" max="8" width="17.140625" style="28" customWidth="1"/>
    <col min="9" max="9" width="13.7109375" style="28" hidden="1" customWidth="1"/>
    <col min="10" max="10" width="14.57421875" style="28" hidden="1" customWidth="1"/>
    <col min="11" max="11" width="15.8515625" style="28" hidden="1" customWidth="1"/>
    <col min="12" max="12" width="11.8515625" style="28" hidden="1" customWidth="1"/>
    <col min="13" max="13" width="15.57421875" style="28" hidden="1" customWidth="1"/>
    <col min="14" max="14" width="16.00390625" style="28" hidden="1" customWidth="1"/>
    <col min="15" max="15" width="13.00390625" style="28" hidden="1" customWidth="1"/>
    <col min="16" max="16" width="12.8515625" style="28" hidden="1" customWidth="1"/>
    <col min="17" max="17" width="12.57421875" style="28" hidden="1" customWidth="1"/>
    <col min="18" max="19" width="11.8515625" style="28" hidden="1" customWidth="1"/>
    <col min="20" max="20" width="12.8515625" style="28" hidden="1" customWidth="1"/>
    <col min="21" max="22" width="14.8515625" style="28" hidden="1" customWidth="1"/>
    <col min="23" max="24" width="14.57421875" style="28" hidden="1" customWidth="1"/>
    <col min="25" max="25" width="20.8515625" style="28" hidden="1" customWidth="1"/>
    <col min="26" max="26" width="0" style="28" hidden="1" customWidth="1"/>
    <col min="27" max="16384" width="9.140625" style="28" customWidth="1"/>
  </cols>
  <sheetData>
    <row r="1" spans="1:12" ht="33.75" customHeight="1">
      <c r="A1" s="136" t="s">
        <v>199</v>
      </c>
      <c r="B1" s="136"/>
      <c r="C1" s="136"/>
      <c r="D1" s="136"/>
      <c r="E1" s="136"/>
      <c r="F1" s="136"/>
      <c r="G1" s="136"/>
      <c r="H1" s="136"/>
      <c r="I1" s="136"/>
      <c r="J1" s="136"/>
      <c r="K1" s="27"/>
      <c r="L1" s="27"/>
    </row>
    <row r="2" ht="2.25" customHeight="1"/>
    <row r="3" ht="6.75" customHeight="1"/>
    <row r="4" spans="4:12" ht="24" customHeight="1">
      <c r="D4" s="137"/>
      <c r="E4" s="137"/>
      <c r="F4" s="137"/>
      <c r="G4" s="30"/>
      <c r="H4" s="30"/>
      <c r="I4" s="30"/>
      <c r="J4" s="30"/>
      <c r="K4" s="31" t="s">
        <v>1</v>
      </c>
      <c r="L4" s="31"/>
    </row>
    <row r="5" spans="1:20" ht="50.25" customHeight="1">
      <c r="A5" s="131" t="s">
        <v>191</v>
      </c>
      <c r="B5" s="131" t="s">
        <v>13</v>
      </c>
      <c r="C5" s="139" t="s">
        <v>221</v>
      </c>
      <c r="D5" s="140"/>
      <c r="E5" s="140"/>
      <c r="F5" s="140"/>
      <c r="G5" s="140"/>
      <c r="H5" s="141"/>
      <c r="I5" s="131" t="s">
        <v>200</v>
      </c>
      <c r="J5" s="133" t="s">
        <v>201</v>
      </c>
      <c r="K5" s="131" t="s">
        <v>202</v>
      </c>
      <c r="L5" s="134" t="s">
        <v>203</v>
      </c>
      <c r="M5" s="131" t="s">
        <v>204</v>
      </c>
      <c r="N5" s="133" t="s">
        <v>205</v>
      </c>
      <c r="O5" s="131" t="s">
        <v>206</v>
      </c>
      <c r="P5" s="134" t="s">
        <v>207</v>
      </c>
      <c r="Q5" s="131" t="s">
        <v>208</v>
      </c>
      <c r="R5" s="133" t="s">
        <v>209</v>
      </c>
      <c r="S5" s="134" t="s">
        <v>210</v>
      </c>
      <c r="T5" s="131" t="s">
        <v>211</v>
      </c>
    </row>
    <row r="6" spans="1:26" s="35" customFormat="1" ht="34.5" customHeight="1">
      <c r="A6" s="138"/>
      <c r="B6" s="138"/>
      <c r="C6" s="32" t="s">
        <v>14</v>
      </c>
      <c r="D6" s="33" t="s">
        <v>15</v>
      </c>
      <c r="E6" s="34" t="s">
        <v>190</v>
      </c>
      <c r="F6" s="34" t="s">
        <v>212</v>
      </c>
      <c r="G6" s="34" t="s">
        <v>213</v>
      </c>
      <c r="H6" s="34" t="s">
        <v>214</v>
      </c>
      <c r="I6" s="132"/>
      <c r="J6" s="132"/>
      <c r="K6" s="132"/>
      <c r="L6" s="135"/>
      <c r="M6" s="132"/>
      <c r="N6" s="132"/>
      <c r="O6" s="132"/>
      <c r="P6" s="135"/>
      <c r="Q6" s="132"/>
      <c r="R6" s="132"/>
      <c r="S6" s="135"/>
      <c r="T6" s="132"/>
      <c r="U6" s="35">
        <v>2018</v>
      </c>
      <c r="V6" s="35">
        <v>2018</v>
      </c>
      <c r="W6" s="35">
        <v>2019</v>
      </c>
      <c r="X6" s="35">
        <v>2019</v>
      </c>
      <c r="Y6" s="35">
        <v>2020</v>
      </c>
      <c r="Z6" s="35">
        <v>2020</v>
      </c>
    </row>
    <row r="7" spans="1:26" s="38" customFormat="1" ht="22.5" customHeight="1">
      <c r="A7" s="36">
        <v>1</v>
      </c>
      <c r="B7" s="36">
        <v>2</v>
      </c>
      <c r="C7" s="37">
        <v>3</v>
      </c>
      <c r="D7" s="37"/>
      <c r="E7" s="37">
        <v>3</v>
      </c>
      <c r="F7" s="37">
        <v>3</v>
      </c>
      <c r="G7" s="37">
        <v>4</v>
      </c>
      <c r="H7" s="37">
        <v>5</v>
      </c>
      <c r="I7" s="37">
        <v>7</v>
      </c>
      <c r="J7" s="37">
        <v>8</v>
      </c>
      <c r="K7" s="36" t="s">
        <v>215</v>
      </c>
      <c r="L7" s="36" t="s">
        <v>216</v>
      </c>
      <c r="M7" s="36">
        <v>11</v>
      </c>
      <c r="N7" s="36">
        <v>12</v>
      </c>
      <c r="O7" s="36" t="s">
        <v>217</v>
      </c>
      <c r="P7" s="36" t="s">
        <v>218</v>
      </c>
      <c r="Q7" s="36">
        <v>15</v>
      </c>
      <c r="R7" s="36">
        <v>16</v>
      </c>
      <c r="S7" s="36" t="s">
        <v>219</v>
      </c>
      <c r="T7" s="36" t="s">
        <v>220</v>
      </c>
      <c r="U7" s="38">
        <v>684592.4</v>
      </c>
      <c r="V7" s="38">
        <v>170110.4</v>
      </c>
      <c r="W7" s="38">
        <v>625407.2</v>
      </c>
      <c r="X7" s="38">
        <v>176575</v>
      </c>
      <c r="Y7" s="38">
        <v>652140.6</v>
      </c>
      <c r="Z7" s="38">
        <v>183285</v>
      </c>
    </row>
    <row r="8" spans="1:20" s="35" customFormat="1" ht="12.75" customHeight="1" hidden="1">
      <c r="A8" s="4"/>
      <c r="B8" s="4"/>
      <c r="C8" s="39"/>
      <c r="D8" s="40"/>
      <c r="E8" s="39"/>
      <c r="F8" s="39"/>
      <c r="G8" s="39"/>
      <c r="H8" s="39"/>
      <c r="I8" s="39"/>
      <c r="J8" s="39"/>
      <c r="K8" s="41"/>
      <c r="L8" s="41"/>
      <c r="M8" s="42"/>
      <c r="N8" s="42"/>
      <c r="O8" s="42"/>
      <c r="P8" s="42"/>
      <c r="Q8" s="42"/>
      <c r="R8" s="42"/>
      <c r="S8" s="42"/>
      <c r="T8" s="42"/>
    </row>
    <row r="9" spans="1:26" s="52" customFormat="1" ht="42" customHeight="1">
      <c r="A9" s="43" t="s">
        <v>16</v>
      </c>
      <c r="B9" s="44" t="s">
        <v>17</v>
      </c>
      <c r="C9" s="45">
        <f aca="true" t="shared" si="0" ref="C9:H9">SUM(C10:C23)</f>
        <v>151022.9</v>
      </c>
      <c r="D9" s="46">
        <f t="shared" si="0"/>
        <v>140527.3</v>
      </c>
      <c r="E9" s="47">
        <f t="shared" si="0"/>
        <v>168170.5</v>
      </c>
      <c r="F9" s="47">
        <f t="shared" si="0"/>
        <v>170110.4</v>
      </c>
      <c r="G9" s="47">
        <f t="shared" si="0"/>
        <v>176575</v>
      </c>
      <c r="H9" s="47">
        <f t="shared" si="0"/>
        <v>183285</v>
      </c>
      <c r="I9" s="48">
        <f aca="true" t="shared" si="1" ref="I9:I34">F9/U9</f>
        <v>0.24848420753721484</v>
      </c>
      <c r="J9" s="48">
        <f aca="true" t="shared" si="2" ref="J9:J23">F9/V9</f>
        <v>1</v>
      </c>
      <c r="K9" s="47">
        <f>F9-E9</f>
        <v>1939.8999999999942</v>
      </c>
      <c r="L9" s="48">
        <f>F9/E9</f>
        <v>1.0115353168361871</v>
      </c>
      <c r="M9" s="49">
        <f aca="true" t="shared" si="3" ref="M9:M34">G9/W9</f>
        <v>0.2823360524151305</v>
      </c>
      <c r="N9" s="49">
        <f aca="true" t="shared" si="4" ref="N9:N23">G9/X9</f>
        <v>1</v>
      </c>
      <c r="O9" s="50">
        <f>G9-F9</f>
        <v>6464.600000000006</v>
      </c>
      <c r="P9" s="49">
        <f>G9/F9</f>
        <v>1.0380023796311102</v>
      </c>
      <c r="Q9" s="49">
        <f aca="true" t="shared" si="5" ref="Q9:Q34">H9/Y9</f>
        <v>0.28105135610326976</v>
      </c>
      <c r="R9" s="49">
        <f aca="true" t="shared" si="6" ref="R9:R24">H9/Z9</f>
        <v>1</v>
      </c>
      <c r="S9" s="49">
        <f>H9/G9</f>
        <v>1.0380008494973807</v>
      </c>
      <c r="T9" s="50">
        <f aca="true" t="shared" si="7" ref="T9:T34">H9-G9</f>
        <v>6710</v>
      </c>
      <c r="U9" s="51">
        <v>684592.4</v>
      </c>
      <c r="V9" s="51">
        <v>170110.4</v>
      </c>
      <c r="W9" s="51">
        <v>625407.2</v>
      </c>
      <c r="X9" s="51">
        <v>176575</v>
      </c>
      <c r="Y9" s="51">
        <v>652140.6</v>
      </c>
      <c r="Z9" s="51">
        <v>183285</v>
      </c>
    </row>
    <row r="10" spans="1:26" s="65" customFormat="1" ht="18.75">
      <c r="A10" s="53" t="s">
        <v>18</v>
      </c>
      <c r="B10" s="54" t="s">
        <v>19</v>
      </c>
      <c r="C10" s="55">
        <v>106369</v>
      </c>
      <c r="D10" s="18">
        <v>104870</v>
      </c>
      <c r="E10" s="56">
        <v>108614.8</v>
      </c>
      <c r="F10" s="57">
        <v>113067</v>
      </c>
      <c r="G10" s="57">
        <v>117364</v>
      </c>
      <c r="H10" s="58">
        <v>121824</v>
      </c>
      <c r="I10" s="59">
        <f t="shared" si="1"/>
        <v>0.1651595898522975</v>
      </c>
      <c r="J10" s="59">
        <f t="shared" si="2"/>
        <v>0.664668356549629</v>
      </c>
      <c r="K10" s="56">
        <f aca="true" t="shared" si="8" ref="K10:K34">F10-E10</f>
        <v>4452.199999999997</v>
      </c>
      <c r="L10" s="60">
        <f aca="true" t="shared" si="9" ref="L10:L34">F10/E10</f>
        <v>1.0409907305450086</v>
      </c>
      <c r="M10" s="61">
        <f t="shared" si="3"/>
        <v>0.18766013566840933</v>
      </c>
      <c r="N10" s="61">
        <f t="shared" si="4"/>
        <v>0.6646694039360045</v>
      </c>
      <c r="O10" s="62">
        <f aca="true" t="shared" si="10" ref="O10:O34">G10-F10</f>
        <v>4297</v>
      </c>
      <c r="P10" s="63">
        <f aca="true" t="shared" si="11" ref="P10:P34">G10/F10</f>
        <v>1.038004015318351</v>
      </c>
      <c r="Q10" s="61">
        <f t="shared" si="5"/>
        <v>0.18680634206795282</v>
      </c>
      <c r="R10" s="61">
        <f t="shared" si="6"/>
        <v>0.6646697765774613</v>
      </c>
      <c r="S10" s="63">
        <f aca="true" t="shared" si="12" ref="S10:S34">H10/G10</f>
        <v>1.0380014314440544</v>
      </c>
      <c r="T10" s="62">
        <f t="shared" si="7"/>
        <v>4460</v>
      </c>
      <c r="U10" s="64">
        <v>684592.4</v>
      </c>
      <c r="V10" s="64">
        <v>170110.4</v>
      </c>
      <c r="W10" s="64">
        <v>625407.2</v>
      </c>
      <c r="X10" s="64">
        <v>176575</v>
      </c>
      <c r="Y10" s="64">
        <v>652140.6</v>
      </c>
      <c r="Z10" s="64">
        <v>183285</v>
      </c>
    </row>
    <row r="11" spans="1:26" s="65" customFormat="1" ht="26.25" customHeight="1">
      <c r="A11" s="53" t="s">
        <v>20</v>
      </c>
      <c r="B11" s="54" t="s">
        <v>21</v>
      </c>
      <c r="C11" s="55">
        <v>0</v>
      </c>
      <c r="D11" s="18">
        <v>3607.4</v>
      </c>
      <c r="E11" s="56">
        <f>23137.5</f>
        <v>23137.5</v>
      </c>
      <c r="F11" s="66">
        <f>18984.4</f>
        <v>18984.4</v>
      </c>
      <c r="G11" s="66">
        <v>19706</v>
      </c>
      <c r="H11" s="67">
        <v>20455</v>
      </c>
      <c r="I11" s="59">
        <f t="shared" si="1"/>
        <v>0.027730953484146188</v>
      </c>
      <c r="J11" s="59">
        <f t="shared" si="2"/>
        <v>0.11160046652056548</v>
      </c>
      <c r="K11" s="56">
        <f t="shared" si="8"/>
        <v>-4153.0999999999985</v>
      </c>
      <c r="L11" s="60">
        <f t="shared" si="9"/>
        <v>0.8205035116153431</v>
      </c>
      <c r="M11" s="61">
        <f t="shared" si="3"/>
        <v>0.03150907120992531</v>
      </c>
      <c r="N11" s="61">
        <f t="shared" si="4"/>
        <v>0.11160130256265043</v>
      </c>
      <c r="O11" s="62">
        <f t="shared" si="10"/>
        <v>721.5999999999985</v>
      </c>
      <c r="P11" s="63">
        <f t="shared" si="11"/>
        <v>1.0380101557067907</v>
      </c>
      <c r="Q11" s="61">
        <f t="shared" si="5"/>
        <v>0.031365935505318944</v>
      </c>
      <c r="R11" s="61">
        <f t="shared" si="6"/>
        <v>0.11160214965763701</v>
      </c>
      <c r="S11" s="63">
        <f t="shared" si="12"/>
        <v>1.0380087283060997</v>
      </c>
      <c r="T11" s="62">
        <f t="shared" si="7"/>
        <v>749</v>
      </c>
      <c r="U11" s="64">
        <v>684592.4</v>
      </c>
      <c r="V11" s="64">
        <v>170110.4</v>
      </c>
      <c r="W11" s="64">
        <v>625407.2</v>
      </c>
      <c r="X11" s="64">
        <v>176575</v>
      </c>
      <c r="Y11" s="64">
        <v>652140.6</v>
      </c>
      <c r="Z11" s="64">
        <v>183285</v>
      </c>
    </row>
    <row r="12" spans="1:26" s="65" customFormat="1" ht="18.75">
      <c r="A12" s="53" t="s">
        <v>22</v>
      </c>
      <c r="B12" s="68" t="s">
        <v>23</v>
      </c>
      <c r="C12" s="55">
        <v>18000</v>
      </c>
      <c r="D12" s="18">
        <v>19000</v>
      </c>
      <c r="E12" s="56">
        <f>19000</f>
        <v>19000</v>
      </c>
      <c r="F12" s="66">
        <v>17200</v>
      </c>
      <c r="G12" s="66">
        <v>17854</v>
      </c>
      <c r="H12" s="67">
        <v>18532</v>
      </c>
      <c r="I12" s="59">
        <f t="shared" si="1"/>
        <v>0.025124439009255727</v>
      </c>
      <c r="J12" s="59">
        <f t="shared" si="2"/>
        <v>0.10111080803995523</v>
      </c>
      <c r="K12" s="56">
        <f t="shared" si="8"/>
        <v>-1800</v>
      </c>
      <c r="L12" s="60">
        <f t="shared" si="9"/>
        <v>0.9052631578947369</v>
      </c>
      <c r="M12" s="61">
        <f t="shared" si="3"/>
        <v>0.02854780053699414</v>
      </c>
      <c r="N12" s="61">
        <f t="shared" si="4"/>
        <v>0.1011128415687385</v>
      </c>
      <c r="O12" s="62">
        <f t="shared" si="10"/>
        <v>654</v>
      </c>
      <c r="P12" s="63">
        <f t="shared" si="11"/>
        <v>1.0380232558139535</v>
      </c>
      <c r="Q12" s="61">
        <f t="shared" si="5"/>
        <v>0.028417184883137166</v>
      </c>
      <c r="R12" s="61">
        <f t="shared" si="6"/>
        <v>0.10111029271353357</v>
      </c>
      <c r="S12" s="63">
        <f t="shared" si="12"/>
        <v>1.0379746835443038</v>
      </c>
      <c r="T12" s="62">
        <f t="shared" si="7"/>
        <v>678</v>
      </c>
      <c r="U12" s="64">
        <v>684592.4</v>
      </c>
      <c r="V12" s="64">
        <v>170110.4</v>
      </c>
      <c r="W12" s="64">
        <v>625407.2</v>
      </c>
      <c r="X12" s="64">
        <v>176575</v>
      </c>
      <c r="Y12" s="64">
        <v>652140.6</v>
      </c>
      <c r="Z12" s="64">
        <v>183285</v>
      </c>
    </row>
    <row r="13" spans="1:26" s="65" customFormat="1" ht="18.75">
      <c r="A13" s="53" t="s">
        <v>24</v>
      </c>
      <c r="B13" s="54" t="s">
        <v>25</v>
      </c>
      <c r="C13" s="55">
        <v>1041</v>
      </c>
      <c r="D13" s="18">
        <v>3500</v>
      </c>
      <c r="E13" s="56">
        <f>6481</f>
        <v>6481</v>
      </c>
      <c r="F13" s="57">
        <v>8865</v>
      </c>
      <c r="G13" s="66">
        <v>9201</v>
      </c>
      <c r="H13" s="67">
        <v>9551</v>
      </c>
      <c r="I13" s="59">
        <f t="shared" si="1"/>
        <v>0.012949311152154187</v>
      </c>
      <c r="J13" s="59">
        <f t="shared" si="2"/>
        <v>0.05211321588803507</v>
      </c>
      <c r="K13" s="56">
        <f t="shared" si="8"/>
        <v>2384</v>
      </c>
      <c r="L13" s="60">
        <f t="shared" si="9"/>
        <v>1.3678444684462274</v>
      </c>
      <c r="M13" s="61">
        <f t="shared" si="3"/>
        <v>0.014712014828099198</v>
      </c>
      <c r="N13" s="61">
        <f t="shared" si="4"/>
        <v>0.052108169333144556</v>
      </c>
      <c r="O13" s="62">
        <f t="shared" si="10"/>
        <v>336</v>
      </c>
      <c r="P13" s="63">
        <f t="shared" si="11"/>
        <v>1.0379018612521151</v>
      </c>
      <c r="Q13" s="61">
        <f t="shared" si="5"/>
        <v>0.014645614764668847</v>
      </c>
      <c r="R13" s="61">
        <f t="shared" si="6"/>
        <v>0.05211010175409881</v>
      </c>
      <c r="S13" s="63">
        <f t="shared" si="12"/>
        <v>1.0380393435496142</v>
      </c>
      <c r="T13" s="62">
        <f t="shared" si="7"/>
        <v>350</v>
      </c>
      <c r="U13" s="64">
        <v>684592.4</v>
      </c>
      <c r="V13" s="64">
        <v>170110.4</v>
      </c>
      <c r="W13" s="64">
        <v>625407.2</v>
      </c>
      <c r="X13" s="64">
        <v>176575</v>
      </c>
      <c r="Y13" s="64">
        <v>652140.6</v>
      </c>
      <c r="Z13" s="64">
        <v>183285</v>
      </c>
    </row>
    <row r="14" spans="1:26" s="65" customFormat="1" ht="18.75" hidden="1">
      <c r="A14" s="53" t="s">
        <v>26</v>
      </c>
      <c r="B14" s="54" t="s">
        <v>27</v>
      </c>
      <c r="C14" s="55"/>
      <c r="D14" s="18"/>
      <c r="E14" s="56"/>
      <c r="F14" s="56"/>
      <c r="G14" s="56"/>
      <c r="H14" s="56"/>
      <c r="I14" s="59">
        <f t="shared" si="1"/>
        <v>0</v>
      </c>
      <c r="J14" s="59">
        <f t="shared" si="2"/>
        <v>0</v>
      </c>
      <c r="K14" s="56">
        <f t="shared" si="8"/>
        <v>0</v>
      </c>
      <c r="L14" s="60" t="e">
        <f t="shared" si="9"/>
        <v>#DIV/0!</v>
      </c>
      <c r="M14" s="61">
        <f t="shared" si="3"/>
        <v>0</v>
      </c>
      <c r="N14" s="61">
        <f t="shared" si="4"/>
        <v>0</v>
      </c>
      <c r="O14" s="62">
        <f t="shared" si="10"/>
        <v>0</v>
      </c>
      <c r="P14" s="63" t="e">
        <f t="shared" si="11"/>
        <v>#DIV/0!</v>
      </c>
      <c r="Q14" s="61">
        <f t="shared" si="5"/>
        <v>0</v>
      </c>
      <c r="R14" s="61">
        <f t="shared" si="6"/>
        <v>0</v>
      </c>
      <c r="S14" s="63" t="e">
        <f t="shared" si="12"/>
        <v>#DIV/0!</v>
      </c>
      <c r="T14" s="62">
        <f t="shared" si="7"/>
        <v>0</v>
      </c>
      <c r="U14" s="64">
        <v>684592.4</v>
      </c>
      <c r="V14" s="64">
        <v>170110.4</v>
      </c>
      <c r="W14" s="64">
        <v>625407.2</v>
      </c>
      <c r="X14" s="64">
        <v>176575</v>
      </c>
      <c r="Y14" s="64">
        <v>652140.6</v>
      </c>
      <c r="Z14" s="64">
        <v>183285</v>
      </c>
    </row>
    <row r="15" spans="1:26" s="65" customFormat="1" ht="18.75" hidden="1">
      <c r="A15" s="53" t="s">
        <v>28</v>
      </c>
      <c r="B15" s="54" t="s">
        <v>29</v>
      </c>
      <c r="C15" s="55">
        <v>14982.3</v>
      </c>
      <c r="D15" s="18">
        <v>0</v>
      </c>
      <c r="E15" s="56">
        <v>0</v>
      </c>
      <c r="F15" s="56">
        <v>0</v>
      </c>
      <c r="G15" s="56"/>
      <c r="H15" s="56"/>
      <c r="I15" s="59">
        <f t="shared" si="1"/>
        <v>0</v>
      </c>
      <c r="J15" s="59">
        <f t="shared" si="2"/>
        <v>0</v>
      </c>
      <c r="K15" s="56">
        <f t="shared" si="8"/>
        <v>0</v>
      </c>
      <c r="L15" s="60" t="e">
        <f t="shared" si="9"/>
        <v>#DIV/0!</v>
      </c>
      <c r="M15" s="61">
        <f t="shared" si="3"/>
        <v>0</v>
      </c>
      <c r="N15" s="61">
        <f t="shared" si="4"/>
        <v>0</v>
      </c>
      <c r="O15" s="62">
        <f t="shared" si="10"/>
        <v>0</v>
      </c>
      <c r="P15" s="63" t="e">
        <f t="shared" si="11"/>
        <v>#DIV/0!</v>
      </c>
      <c r="Q15" s="61">
        <f t="shared" si="5"/>
        <v>0</v>
      </c>
      <c r="R15" s="61">
        <f t="shared" si="6"/>
        <v>0</v>
      </c>
      <c r="S15" s="63" t="e">
        <f t="shared" si="12"/>
        <v>#DIV/0!</v>
      </c>
      <c r="T15" s="62">
        <f t="shared" si="7"/>
        <v>0</v>
      </c>
      <c r="U15" s="64">
        <v>684592.4</v>
      </c>
      <c r="V15" s="64">
        <v>170110.4</v>
      </c>
      <c r="W15" s="64">
        <v>625407.2</v>
      </c>
      <c r="X15" s="64">
        <v>176575</v>
      </c>
      <c r="Y15" s="64">
        <v>652140.6</v>
      </c>
      <c r="Z15" s="64">
        <v>183285</v>
      </c>
    </row>
    <row r="16" spans="1:26" s="65" customFormat="1" ht="18.75" hidden="1">
      <c r="A16" s="53" t="s">
        <v>30</v>
      </c>
      <c r="B16" s="54" t="s">
        <v>31</v>
      </c>
      <c r="C16" s="55"/>
      <c r="D16" s="18"/>
      <c r="E16" s="56"/>
      <c r="F16" s="56"/>
      <c r="G16" s="56"/>
      <c r="H16" s="56"/>
      <c r="I16" s="59">
        <f t="shared" si="1"/>
        <v>0</v>
      </c>
      <c r="J16" s="59">
        <f t="shared" si="2"/>
        <v>0</v>
      </c>
      <c r="K16" s="56">
        <f t="shared" si="8"/>
        <v>0</v>
      </c>
      <c r="L16" s="60" t="e">
        <f t="shared" si="9"/>
        <v>#DIV/0!</v>
      </c>
      <c r="M16" s="61">
        <f t="shared" si="3"/>
        <v>0</v>
      </c>
      <c r="N16" s="61">
        <f t="shared" si="4"/>
        <v>0</v>
      </c>
      <c r="O16" s="62">
        <f t="shared" si="10"/>
        <v>0</v>
      </c>
      <c r="P16" s="63" t="e">
        <f t="shared" si="11"/>
        <v>#DIV/0!</v>
      </c>
      <c r="Q16" s="61">
        <f t="shared" si="5"/>
        <v>0</v>
      </c>
      <c r="R16" s="61">
        <f t="shared" si="6"/>
        <v>0</v>
      </c>
      <c r="S16" s="63" t="e">
        <f t="shared" si="12"/>
        <v>#DIV/0!</v>
      </c>
      <c r="T16" s="62">
        <f t="shared" si="7"/>
        <v>0</v>
      </c>
      <c r="U16" s="64">
        <v>684592.4</v>
      </c>
      <c r="V16" s="64">
        <v>170110.4</v>
      </c>
      <c r="W16" s="64">
        <v>625407.2</v>
      </c>
      <c r="X16" s="64">
        <v>176575</v>
      </c>
      <c r="Y16" s="64">
        <v>652140.6</v>
      </c>
      <c r="Z16" s="64">
        <v>183285</v>
      </c>
    </row>
    <row r="17" spans="1:26" s="65" customFormat="1" ht="18.75">
      <c r="A17" s="53" t="s">
        <v>32</v>
      </c>
      <c r="B17" s="54" t="s">
        <v>33</v>
      </c>
      <c r="C17" s="55">
        <v>1700</v>
      </c>
      <c r="D17" s="18">
        <v>3125</v>
      </c>
      <c r="E17" s="56">
        <f>4000</f>
        <v>4000</v>
      </c>
      <c r="F17" s="57">
        <v>3500</v>
      </c>
      <c r="G17" s="57">
        <v>3633</v>
      </c>
      <c r="H17" s="58">
        <v>3771</v>
      </c>
      <c r="I17" s="59">
        <f t="shared" si="1"/>
        <v>0.005112531193743898</v>
      </c>
      <c r="J17" s="59">
        <f t="shared" si="2"/>
        <v>0.020574873729060656</v>
      </c>
      <c r="K17" s="56">
        <f t="shared" si="8"/>
        <v>-500</v>
      </c>
      <c r="L17" s="60">
        <f t="shared" si="9"/>
        <v>0.875</v>
      </c>
      <c r="M17" s="61">
        <f t="shared" si="3"/>
        <v>0.005809015310345005</v>
      </c>
      <c r="N17" s="61">
        <f t="shared" si="4"/>
        <v>0.020574826560951436</v>
      </c>
      <c r="O17" s="62">
        <f t="shared" si="10"/>
        <v>133</v>
      </c>
      <c r="P17" s="63">
        <f t="shared" si="11"/>
        <v>1.038</v>
      </c>
      <c r="Q17" s="61">
        <f t="shared" si="5"/>
        <v>0.005782495369863493</v>
      </c>
      <c r="R17" s="61">
        <f t="shared" si="6"/>
        <v>0.020574515099435305</v>
      </c>
      <c r="S17" s="63">
        <f t="shared" si="12"/>
        <v>1.0379851362510322</v>
      </c>
      <c r="T17" s="62">
        <f t="shared" si="7"/>
        <v>138</v>
      </c>
      <c r="U17" s="64">
        <v>684592.4</v>
      </c>
      <c r="V17" s="64">
        <v>170110.4</v>
      </c>
      <c r="W17" s="64">
        <v>625407.2</v>
      </c>
      <c r="X17" s="64">
        <v>176575</v>
      </c>
      <c r="Y17" s="64">
        <v>652140.6</v>
      </c>
      <c r="Z17" s="64">
        <v>183285</v>
      </c>
    </row>
    <row r="18" spans="1:26" s="65" customFormat="1" ht="25.5" customHeight="1">
      <c r="A18" s="53" t="s">
        <v>34</v>
      </c>
      <c r="B18" s="54" t="s">
        <v>35</v>
      </c>
      <c r="C18" s="55">
        <v>2500</v>
      </c>
      <c r="D18" s="18">
        <v>3100</v>
      </c>
      <c r="E18" s="56">
        <f>4100</f>
        <v>4100</v>
      </c>
      <c r="F18" s="66">
        <v>4100</v>
      </c>
      <c r="G18" s="57">
        <v>4255.8</v>
      </c>
      <c r="H18" s="67">
        <v>4417</v>
      </c>
      <c r="I18" s="59">
        <f t="shared" si="1"/>
        <v>0.005988965112671423</v>
      </c>
      <c r="J18" s="59">
        <f t="shared" si="2"/>
        <v>0.02410199493975677</v>
      </c>
      <c r="K18" s="56">
        <f t="shared" si="8"/>
        <v>0</v>
      </c>
      <c r="L18" s="60">
        <f t="shared" si="9"/>
        <v>1</v>
      </c>
      <c r="M18" s="61">
        <f t="shared" si="3"/>
        <v>0.0068048465064041485</v>
      </c>
      <c r="N18" s="61">
        <f t="shared" si="4"/>
        <v>0.02410193968568597</v>
      </c>
      <c r="O18" s="62">
        <f t="shared" si="10"/>
        <v>155.80000000000018</v>
      </c>
      <c r="P18" s="63">
        <f t="shared" si="11"/>
        <v>1.038</v>
      </c>
      <c r="Q18" s="61">
        <f t="shared" si="5"/>
        <v>0.006773079302224091</v>
      </c>
      <c r="R18" s="61">
        <f t="shared" si="6"/>
        <v>0.024099080666721225</v>
      </c>
      <c r="S18" s="63">
        <f t="shared" si="12"/>
        <v>1.0378777198176605</v>
      </c>
      <c r="T18" s="62">
        <f t="shared" si="7"/>
        <v>161.19999999999982</v>
      </c>
      <c r="U18" s="64">
        <v>684592.4</v>
      </c>
      <c r="V18" s="64">
        <v>170110.4</v>
      </c>
      <c r="W18" s="64">
        <v>625407.2</v>
      </c>
      <c r="X18" s="64">
        <v>176575</v>
      </c>
      <c r="Y18" s="64">
        <v>652140.6</v>
      </c>
      <c r="Z18" s="64">
        <v>183285</v>
      </c>
    </row>
    <row r="19" spans="1:26" s="65" customFormat="1" ht="25.5" customHeight="1">
      <c r="A19" s="53" t="s">
        <v>36</v>
      </c>
      <c r="B19" s="54" t="s">
        <v>37</v>
      </c>
      <c r="C19" s="55">
        <v>200</v>
      </c>
      <c r="D19" s="18">
        <v>200</v>
      </c>
      <c r="E19" s="56">
        <v>500</v>
      </c>
      <c r="F19" s="56">
        <v>400</v>
      </c>
      <c r="G19" s="56">
        <v>415.2</v>
      </c>
      <c r="H19" s="56">
        <v>431</v>
      </c>
      <c r="I19" s="59">
        <f t="shared" si="1"/>
        <v>0.0005842892792850169</v>
      </c>
      <c r="J19" s="59">
        <f t="shared" si="2"/>
        <v>0.0023514141404640753</v>
      </c>
      <c r="K19" s="56">
        <f t="shared" si="8"/>
        <v>-100</v>
      </c>
      <c r="L19" s="60">
        <f t="shared" si="9"/>
        <v>0.8</v>
      </c>
      <c r="M19" s="61">
        <f t="shared" si="3"/>
        <v>0.0006638874640394291</v>
      </c>
      <c r="N19" s="61">
        <f t="shared" si="4"/>
        <v>0.0023514087498230215</v>
      </c>
      <c r="O19" s="62">
        <f t="shared" si="10"/>
        <v>15.199999999999989</v>
      </c>
      <c r="P19" s="63">
        <f t="shared" si="11"/>
        <v>1.038</v>
      </c>
      <c r="Q19" s="61">
        <f t="shared" si="5"/>
        <v>0.0006609004254603992</v>
      </c>
      <c r="R19" s="61">
        <f t="shared" si="6"/>
        <v>0.002351529039474043</v>
      </c>
      <c r="S19" s="63">
        <f t="shared" si="12"/>
        <v>1.038053949903661</v>
      </c>
      <c r="T19" s="62">
        <f t="shared" si="7"/>
        <v>15.800000000000011</v>
      </c>
      <c r="U19" s="64">
        <v>684592.4</v>
      </c>
      <c r="V19" s="64">
        <v>170110.4</v>
      </c>
      <c r="W19" s="64">
        <v>625407.2</v>
      </c>
      <c r="X19" s="64">
        <v>176575</v>
      </c>
      <c r="Y19" s="64">
        <v>652140.6</v>
      </c>
      <c r="Z19" s="64">
        <v>183285</v>
      </c>
    </row>
    <row r="20" spans="1:26" s="65" customFormat="1" ht="18.75">
      <c r="A20" s="53" t="s">
        <v>38</v>
      </c>
      <c r="B20" s="54" t="s">
        <v>39</v>
      </c>
      <c r="C20" s="55">
        <v>431.6</v>
      </c>
      <c r="D20" s="18">
        <v>1139.9</v>
      </c>
      <c r="E20" s="56">
        <f>716.7</f>
        <v>716.7</v>
      </c>
      <c r="F20" s="57">
        <v>872</v>
      </c>
      <c r="G20" s="57">
        <v>905</v>
      </c>
      <c r="H20" s="58">
        <v>940</v>
      </c>
      <c r="I20" s="59">
        <f t="shared" si="1"/>
        <v>0.0012737506288413368</v>
      </c>
      <c r="J20" s="59">
        <f t="shared" si="2"/>
        <v>0.005126082826211684</v>
      </c>
      <c r="K20" s="56">
        <f t="shared" si="8"/>
        <v>155.29999999999995</v>
      </c>
      <c r="L20" s="60">
        <f t="shared" si="9"/>
        <v>1.2166875959257708</v>
      </c>
      <c r="M20" s="61">
        <f t="shared" si="3"/>
        <v>0.001447057213284401</v>
      </c>
      <c r="N20" s="61">
        <f t="shared" si="4"/>
        <v>0.005125300863655671</v>
      </c>
      <c r="O20" s="62">
        <f t="shared" si="10"/>
        <v>33</v>
      </c>
      <c r="P20" s="63">
        <f t="shared" si="11"/>
        <v>1.0378440366972477</v>
      </c>
      <c r="Q20" s="61">
        <f t="shared" si="5"/>
        <v>0.0014414069604008707</v>
      </c>
      <c r="R20" s="61">
        <f t="shared" si="6"/>
        <v>0.005128624819270535</v>
      </c>
      <c r="S20" s="63">
        <f t="shared" si="12"/>
        <v>1.0386740331491713</v>
      </c>
      <c r="T20" s="62">
        <f t="shared" si="7"/>
        <v>35</v>
      </c>
      <c r="U20" s="64">
        <v>684592.4</v>
      </c>
      <c r="V20" s="64">
        <v>170110.4</v>
      </c>
      <c r="W20" s="64">
        <v>625407.2</v>
      </c>
      <c r="X20" s="64">
        <v>176575</v>
      </c>
      <c r="Y20" s="64">
        <v>652140.6</v>
      </c>
      <c r="Z20" s="64">
        <v>183285</v>
      </c>
    </row>
    <row r="21" spans="1:26" s="65" customFormat="1" ht="18.75" hidden="1">
      <c r="A21" s="53" t="s">
        <v>40</v>
      </c>
      <c r="B21" s="54" t="s">
        <v>41</v>
      </c>
      <c r="C21" s="55">
        <v>3701.3</v>
      </c>
      <c r="D21" s="18">
        <v>0</v>
      </c>
      <c r="E21" s="56">
        <v>0</v>
      </c>
      <c r="F21" s="56">
        <v>0</v>
      </c>
      <c r="G21" s="56"/>
      <c r="H21" s="56"/>
      <c r="I21" s="59">
        <f t="shared" si="1"/>
        <v>0</v>
      </c>
      <c r="J21" s="59">
        <f t="shared" si="2"/>
        <v>0</v>
      </c>
      <c r="K21" s="56">
        <f t="shared" si="8"/>
        <v>0</v>
      </c>
      <c r="L21" s="60" t="e">
        <f t="shared" si="9"/>
        <v>#DIV/0!</v>
      </c>
      <c r="M21" s="61">
        <f t="shared" si="3"/>
        <v>0</v>
      </c>
      <c r="N21" s="61">
        <f t="shared" si="4"/>
        <v>0</v>
      </c>
      <c r="O21" s="62">
        <f t="shared" si="10"/>
        <v>0</v>
      </c>
      <c r="P21" s="63" t="e">
        <f t="shared" si="11"/>
        <v>#DIV/0!</v>
      </c>
      <c r="Q21" s="61">
        <f t="shared" si="5"/>
        <v>0</v>
      </c>
      <c r="R21" s="61">
        <f t="shared" si="6"/>
        <v>0</v>
      </c>
      <c r="S21" s="63" t="e">
        <f t="shared" si="12"/>
        <v>#DIV/0!</v>
      </c>
      <c r="T21" s="62">
        <f t="shared" si="7"/>
        <v>0</v>
      </c>
      <c r="U21" s="64">
        <v>684592.4</v>
      </c>
      <c r="V21" s="64">
        <v>170110.4</v>
      </c>
      <c r="W21" s="64">
        <v>625407.2</v>
      </c>
      <c r="X21" s="64">
        <v>176575</v>
      </c>
      <c r="Y21" s="64">
        <v>652140.6</v>
      </c>
      <c r="Z21" s="64">
        <v>183285</v>
      </c>
    </row>
    <row r="22" spans="1:26" s="65" customFormat="1" ht="18.75">
      <c r="A22" s="53" t="s">
        <v>42</v>
      </c>
      <c r="B22" s="54" t="s">
        <v>43</v>
      </c>
      <c r="C22" s="55">
        <v>150</v>
      </c>
      <c r="D22" s="18">
        <v>100</v>
      </c>
      <c r="E22" s="56">
        <f>200</f>
        <v>200</v>
      </c>
      <c r="F22" s="57">
        <v>700</v>
      </c>
      <c r="G22" s="57">
        <v>727</v>
      </c>
      <c r="H22" s="58">
        <v>755</v>
      </c>
      <c r="I22" s="59">
        <f t="shared" si="1"/>
        <v>0.0010225062387487795</v>
      </c>
      <c r="J22" s="59">
        <f t="shared" si="2"/>
        <v>0.004114974745812131</v>
      </c>
      <c r="K22" s="56">
        <f t="shared" si="8"/>
        <v>500</v>
      </c>
      <c r="L22" s="60">
        <f t="shared" si="9"/>
        <v>3.5</v>
      </c>
      <c r="M22" s="61">
        <f t="shared" si="3"/>
        <v>0.0011624426453676901</v>
      </c>
      <c r="N22" s="61">
        <f t="shared" si="4"/>
        <v>0.0041172306385388645</v>
      </c>
      <c r="O22" s="62">
        <f t="shared" si="10"/>
        <v>27</v>
      </c>
      <c r="P22" s="63">
        <f t="shared" si="11"/>
        <v>1.0385714285714285</v>
      </c>
      <c r="Q22" s="61">
        <f t="shared" si="5"/>
        <v>0.0011577258033006993</v>
      </c>
      <c r="R22" s="61">
        <f t="shared" si="6"/>
        <v>0.004119267806967291</v>
      </c>
      <c r="S22" s="63">
        <f t="shared" si="12"/>
        <v>1.0385144429160935</v>
      </c>
      <c r="T22" s="62">
        <f t="shared" si="7"/>
        <v>28</v>
      </c>
      <c r="U22" s="64">
        <v>684592.4</v>
      </c>
      <c r="V22" s="64">
        <v>170110.4</v>
      </c>
      <c r="W22" s="64">
        <v>625407.2</v>
      </c>
      <c r="X22" s="64">
        <v>176575</v>
      </c>
      <c r="Y22" s="64">
        <v>652140.6</v>
      </c>
      <c r="Z22" s="64">
        <v>183285</v>
      </c>
    </row>
    <row r="23" spans="1:26" s="65" customFormat="1" ht="18.75">
      <c r="A23" s="53" t="s">
        <v>44</v>
      </c>
      <c r="B23" s="54" t="s">
        <v>186</v>
      </c>
      <c r="C23" s="55">
        <v>1947.7</v>
      </c>
      <c r="D23" s="18">
        <v>1885</v>
      </c>
      <c r="E23" s="56">
        <f>677.5+743</f>
        <v>1420.5</v>
      </c>
      <c r="F23" s="57">
        <v>2422</v>
      </c>
      <c r="G23" s="57">
        <v>2514</v>
      </c>
      <c r="H23" s="58">
        <v>2609</v>
      </c>
      <c r="I23" s="59">
        <f t="shared" si="1"/>
        <v>0.003537871586070777</v>
      </c>
      <c r="J23" s="59">
        <f t="shared" si="2"/>
        <v>0.014237812620509976</v>
      </c>
      <c r="K23" s="56">
        <f t="shared" si="8"/>
        <v>1001.5</v>
      </c>
      <c r="L23" s="60">
        <f t="shared" si="9"/>
        <v>1.7050334389299542</v>
      </c>
      <c r="M23" s="61">
        <f t="shared" si="3"/>
        <v>0.004019781032261861</v>
      </c>
      <c r="N23" s="61">
        <f t="shared" si="4"/>
        <v>0.014237576100807023</v>
      </c>
      <c r="O23" s="62">
        <f t="shared" si="10"/>
        <v>92</v>
      </c>
      <c r="P23" s="63">
        <f t="shared" si="11"/>
        <v>1.0379851362510322</v>
      </c>
      <c r="Q23" s="61">
        <f t="shared" si="5"/>
        <v>0.004000671020942416</v>
      </c>
      <c r="R23" s="61">
        <f t="shared" si="6"/>
        <v>0.014234661865400879</v>
      </c>
      <c r="S23" s="63">
        <f t="shared" si="12"/>
        <v>1.037788385043755</v>
      </c>
      <c r="T23" s="62">
        <f t="shared" si="7"/>
        <v>95</v>
      </c>
      <c r="U23" s="64">
        <v>684592.4</v>
      </c>
      <c r="V23" s="64">
        <v>170110.4</v>
      </c>
      <c r="W23" s="64">
        <v>625407.2</v>
      </c>
      <c r="X23" s="64">
        <v>176575</v>
      </c>
      <c r="Y23" s="64">
        <v>652140.6</v>
      </c>
      <c r="Z23" s="64">
        <v>183285</v>
      </c>
    </row>
    <row r="24" spans="1:26" s="72" customFormat="1" ht="27" customHeight="1" hidden="1">
      <c r="A24" s="15" t="s">
        <v>45</v>
      </c>
      <c r="B24" s="16" t="s">
        <v>46</v>
      </c>
      <c r="C24" s="14">
        <v>603</v>
      </c>
      <c r="D24" s="18">
        <v>710</v>
      </c>
      <c r="E24" s="69">
        <v>866.5</v>
      </c>
      <c r="F24" s="69">
        <v>866.5</v>
      </c>
      <c r="G24" s="69"/>
      <c r="H24" s="69"/>
      <c r="I24" s="60">
        <f t="shared" si="1"/>
        <v>0.0012657166512511679</v>
      </c>
      <c r="J24" s="69">
        <f>F24/F9*100</f>
        <v>0.5093750881780302</v>
      </c>
      <c r="K24" s="69">
        <f t="shared" si="8"/>
        <v>0</v>
      </c>
      <c r="L24" s="48">
        <f t="shared" si="9"/>
        <v>1</v>
      </c>
      <c r="M24" s="63">
        <f t="shared" si="3"/>
        <v>0</v>
      </c>
      <c r="N24" s="70"/>
      <c r="O24" s="71">
        <f t="shared" si="10"/>
        <v>-866.5</v>
      </c>
      <c r="P24" s="49">
        <f t="shared" si="11"/>
        <v>0</v>
      </c>
      <c r="Q24" s="63">
        <f t="shared" si="5"/>
        <v>0</v>
      </c>
      <c r="R24" s="63">
        <f t="shared" si="6"/>
        <v>0</v>
      </c>
      <c r="S24" s="49" t="e">
        <f t="shared" si="12"/>
        <v>#DIV/0!</v>
      </c>
      <c r="T24" s="71">
        <f t="shared" si="7"/>
        <v>0</v>
      </c>
      <c r="U24" s="38">
        <v>684592.4</v>
      </c>
      <c r="V24" s="38">
        <v>170110.4</v>
      </c>
      <c r="W24" s="38">
        <v>625407.2</v>
      </c>
      <c r="X24" s="38">
        <v>176575</v>
      </c>
      <c r="Y24" s="38">
        <v>652140.6</v>
      </c>
      <c r="Z24" s="38">
        <v>183285</v>
      </c>
    </row>
    <row r="25" spans="1:26" s="52" customFormat="1" ht="33" customHeight="1">
      <c r="A25" s="43" t="s">
        <v>47</v>
      </c>
      <c r="B25" s="44" t="s">
        <v>48</v>
      </c>
      <c r="C25" s="45">
        <f aca="true" t="shared" si="13" ref="C25:H25">C26+C28+C27+C29</f>
        <v>484089.5</v>
      </c>
      <c r="D25" s="73">
        <f t="shared" si="13"/>
        <v>470182.5</v>
      </c>
      <c r="E25" s="47">
        <f t="shared" si="13"/>
        <v>474246.6</v>
      </c>
      <c r="F25" s="47">
        <f t="shared" si="13"/>
        <v>514482</v>
      </c>
      <c r="G25" s="47">
        <f t="shared" si="13"/>
        <v>448832.19999999995</v>
      </c>
      <c r="H25" s="47">
        <f t="shared" si="13"/>
        <v>468855.6</v>
      </c>
      <c r="I25" s="48">
        <f t="shared" si="1"/>
        <v>0.7515157924627851</v>
      </c>
      <c r="J25" s="47" t="s">
        <v>49</v>
      </c>
      <c r="K25" s="47">
        <f t="shared" si="8"/>
        <v>40235.40000000002</v>
      </c>
      <c r="L25" s="48">
        <f t="shared" si="9"/>
        <v>1.084840671498752</v>
      </c>
      <c r="M25" s="49">
        <f t="shared" si="3"/>
        <v>0.7176639475848695</v>
      </c>
      <c r="N25" s="47" t="s">
        <v>49</v>
      </c>
      <c r="O25" s="50">
        <f t="shared" si="10"/>
        <v>-65649.80000000005</v>
      </c>
      <c r="P25" s="49">
        <f t="shared" si="11"/>
        <v>0.8723963131849121</v>
      </c>
      <c r="Q25" s="49">
        <f t="shared" si="5"/>
        <v>0.7189486438967302</v>
      </c>
      <c r="R25" s="47" t="s">
        <v>49</v>
      </c>
      <c r="S25" s="49">
        <f t="shared" si="12"/>
        <v>1.0446122181073463</v>
      </c>
      <c r="T25" s="50">
        <f t="shared" si="7"/>
        <v>20023.400000000023</v>
      </c>
      <c r="U25" s="51">
        <v>684592.4</v>
      </c>
      <c r="V25" s="51">
        <v>170110.4</v>
      </c>
      <c r="W25" s="51">
        <v>625407.2</v>
      </c>
      <c r="X25" s="51">
        <v>176575</v>
      </c>
      <c r="Y25" s="51">
        <v>652140.6</v>
      </c>
      <c r="Z25" s="51">
        <v>183285</v>
      </c>
    </row>
    <row r="26" spans="1:26" s="65" customFormat="1" ht="27.75" customHeight="1">
      <c r="A26" s="53" t="s">
        <v>192</v>
      </c>
      <c r="B26" s="54" t="s">
        <v>12</v>
      </c>
      <c r="C26" s="55">
        <v>141911.7</v>
      </c>
      <c r="D26" s="18">
        <v>82161.1</v>
      </c>
      <c r="E26" s="56">
        <f>116001.5</f>
        <v>116001.5</v>
      </c>
      <c r="F26" s="56">
        <v>138965</v>
      </c>
      <c r="G26" s="56">
        <v>103941.9</v>
      </c>
      <c r="H26" s="56">
        <v>111425.8</v>
      </c>
      <c r="I26" s="59">
        <f t="shared" si="1"/>
        <v>0.20298939923960593</v>
      </c>
      <c r="J26" s="56" t="s">
        <v>49</v>
      </c>
      <c r="K26" s="56">
        <f t="shared" si="8"/>
        <v>22963.5</v>
      </c>
      <c r="L26" s="59">
        <f t="shared" si="9"/>
        <v>1.19795864708646</v>
      </c>
      <c r="M26" s="61">
        <f t="shared" si="3"/>
        <v>0.16619875818506727</v>
      </c>
      <c r="N26" s="56" t="s">
        <v>49</v>
      </c>
      <c r="O26" s="62">
        <f t="shared" si="10"/>
        <v>-35023.100000000006</v>
      </c>
      <c r="P26" s="61">
        <f t="shared" si="11"/>
        <v>0.7479717914582809</v>
      </c>
      <c r="Q26" s="61">
        <f t="shared" si="5"/>
        <v>0.1708616209449312</v>
      </c>
      <c r="R26" s="56" t="s">
        <v>49</v>
      </c>
      <c r="S26" s="61">
        <f t="shared" si="12"/>
        <v>1.072000800447173</v>
      </c>
      <c r="T26" s="62">
        <f t="shared" si="7"/>
        <v>7483.900000000009</v>
      </c>
      <c r="U26" s="64">
        <v>684592.4</v>
      </c>
      <c r="V26" s="64">
        <v>170110.4</v>
      </c>
      <c r="W26" s="64">
        <v>625407.2</v>
      </c>
      <c r="X26" s="64">
        <v>176575</v>
      </c>
      <c r="Y26" s="64">
        <v>652140.6</v>
      </c>
      <c r="Z26" s="64">
        <v>183285</v>
      </c>
    </row>
    <row r="27" spans="1:26" s="65" customFormat="1" ht="35.25" customHeight="1">
      <c r="A27" s="53" t="s">
        <v>193</v>
      </c>
      <c r="B27" s="54" t="s">
        <v>50</v>
      </c>
      <c r="C27" s="55">
        <v>43538.9</v>
      </c>
      <c r="D27" s="18">
        <v>17264</v>
      </c>
      <c r="E27" s="56">
        <f>0</f>
        <v>0</v>
      </c>
      <c r="F27" s="56">
        <v>25469</v>
      </c>
      <c r="G27" s="56">
        <v>0</v>
      </c>
      <c r="H27" s="56">
        <v>0</v>
      </c>
      <c r="I27" s="59">
        <f t="shared" si="1"/>
        <v>0.037203159135275235</v>
      </c>
      <c r="J27" s="56" t="s">
        <v>49</v>
      </c>
      <c r="K27" s="56">
        <f t="shared" si="8"/>
        <v>25469</v>
      </c>
      <c r="L27" s="59" t="e">
        <f t="shared" si="9"/>
        <v>#DIV/0!</v>
      </c>
      <c r="M27" s="61">
        <f t="shared" si="3"/>
        <v>0</v>
      </c>
      <c r="N27" s="56" t="s">
        <v>49</v>
      </c>
      <c r="O27" s="62">
        <f t="shared" si="10"/>
        <v>-25469</v>
      </c>
      <c r="P27" s="61">
        <f t="shared" si="11"/>
        <v>0</v>
      </c>
      <c r="Q27" s="61">
        <f t="shared" si="5"/>
        <v>0</v>
      </c>
      <c r="R27" s="56" t="s">
        <v>49</v>
      </c>
      <c r="S27" s="61" t="e">
        <f t="shared" si="12"/>
        <v>#DIV/0!</v>
      </c>
      <c r="T27" s="62">
        <f t="shared" si="7"/>
        <v>0</v>
      </c>
      <c r="U27" s="64">
        <v>684592.4</v>
      </c>
      <c r="V27" s="64">
        <v>170110.4</v>
      </c>
      <c r="W27" s="64">
        <v>625407.2</v>
      </c>
      <c r="X27" s="64">
        <v>176575</v>
      </c>
      <c r="Y27" s="64">
        <v>652140.6</v>
      </c>
      <c r="Z27" s="64">
        <v>183285</v>
      </c>
    </row>
    <row r="28" spans="1:26" s="65" customFormat="1" ht="26.25" customHeight="1">
      <c r="A28" s="53" t="s">
        <v>194</v>
      </c>
      <c r="B28" s="54" t="s">
        <v>51</v>
      </c>
      <c r="C28" s="55">
        <v>268830.8</v>
      </c>
      <c r="D28" s="18">
        <v>362479.4</v>
      </c>
      <c r="E28" s="56">
        <f>351876.3</f>
        <v>351876.3</v>
      </c>
      <c r="F28" s="56">
        <v>343157</v>
      </c>
      <c r="G28" s="56">
        <v>337999.3</v>
      </c>
      <c r="H28" s="56">
        <v>350538.8</v>
      </c>
      <c r="I28" s="59">
        <f t="shared" si="1"/>
        <v>0.5012573905290213</v>
      </c>
      <c r="J28" s="56" t="s">
        <v>49</v>
      </c>
      <c r="K28" s="56">
        <f t="shared" si="8"/>
        <v>-8719.299999999988</v>
      </c>
      <c r="L28" s="59">
        <f t="shared" si="9"/>
        <v>0.9752205533592345</v>
      </c>
      <c r="M28" s="61">
        <f t="shared" si="3"/>
        <v>0.5404467681216334</v>
      </c>
      <c r="N28" s="56" t="s">
        <v>49</v>
      </c>
      <c r="O28" s="62">
        <f t="shared" si="10"/>
        <v>-5157.700000000012</v>
      </c>
      <c r="P28" s="61">
        <f t="shared" si="11"/>
        <v>0.9849698534490043</v>
      </c>
      <c r="Q28" s="61">
        <f t="shared" si="5"/>
        <v>0.5375202832027327</v>
      </c>
      <c r="R28" s="56" t="s">
        <v>49</v>
      </c>
      <c r="S28" s="61">
        <f t="shared" si="12"/>
        <v>1.037099189258676</v>
      </c>
      <c r="T28" s="62">
        <f t="shared" si="7"/>
        <v>12539.5</v>
      </c>
      <c r="U28" s="64">
        <v>684592.4</v>
      </c>
      <c r="V28" s="64">
        <v>170110.4</v>
      </c>
      <c r="W28" s="64">
        <v>625407.2</v>
      </c>
      <c r="X28" s="64">
        <v>176575</v>
      </c>
      <c r="Y28" s="64">
        <v>652140.6</v>
      </c>
      <c r="Z28" s="64">
        <v>183285</v>
      </c>
    </row>
    <row r="29" spans="1:26" s="65" customFormat="1" ht="21.75" customHeight="1">
      <c r="A29" s="53" t="s">
        <v>195</v>
      </c>
      <c r="B29" s="54" t="s">
        <v>5</v>
      </c>
      <c r="C29" s="55">
        <f>29808.1</f>
        <v>29808.1</v>
      </c>
      <c r="D29" s="18">
        <f>8258.3+19.7</f>
        <v>8278</v>
      </c>
      <c r="E29" s="56">
        <f>6368.8</f>
        <v>6368.8</v>
      </c>
      <c r="F29" s="56">
        <v>6891</v>
      </c>
      <c r="G29" s="56">
        <v>6891</v>
      </c>
      <c r="H29" s="56">
        <v>6891</v>
      </c>
      <c r="I29" s="59">
        <f t="shared" si="1"/>
        <v>0.010065843558882629</v>
      </c>
      <c r="J29" s="56" t="s">
        <v>49</v>
      </c>
      <c r="K29" s="56">
        <f t="shared" si="8"/>
        <v>522.1999999999998</v>
      </c>
      <c r="L29" s="59">
        <f t="shared" si="9"/>
        <v>1.0819934681572667</v>
      </c>
      <c r="M29" s="61">
        <f t="shared" si="3"/>
        <v>0.011018421278168848</v>
      </c>
      <c r="N29" s="56" t="s">
        <v>49</v>
      </c>
      <c r="O29" s="62">
        <f t="shared" si="10"/>
        <v>0</v>
      </c>
      <c r="P29" s="61">
        <f t="shared" si="11"/>
        <v>1</v>
      </c>
      <c r="Q29" s="61">
        <f t="shared" si="5"/>
        <v>0.010566739749066382</v>
      </c>
      <c r="R29" s="56" t="s">
        <v>49</v>
      </c>
      <c r="S29" s="61">
        <f t="shared" si="12"/>
        <v>1</v>
      </c>
      <c r="T29" s="62">
        <f t="shared" si="7"/>
        <v>0</v>
      </c>
      <c r="U29" s="64">
        <v>684592.4</v>
      </c>
      <c r="V29" s="64">
        <v>170110.4</v>
      </c>
      <c r="W29" s="64">
        <v>625407.2</v>
      </c>
      <c r="X29" s="64">
        <v>176575</v>
      </c>
      <c r="Y29" s="64">
        <v>652140.6</v>
      </c>
      <c r="Z29" s="64">
        <v>183285</v>
      </c>
    </row>
    <row r="30" spans="1:26" s="65" customFormat="1" ht="37.5">
      <c r="A30" s="53"/>
      <c r="B30" s="54" t="s">
        <v>52</v>
      </c>
      <c r="C30" s="55">
        <f>22656.9</f>
        <v>22656.9</v>
      </c>
      <c r="D30" s="18">
        <f>8258.3</f>
        <v>8258.3</v>
      </c>
      <c r="E30" s="56">
        <f>6368.8</f>
        <v>6368.8</v>
      </c>
      <c r="F30" s="56">
        <v>6891</v>
      </c>
      <c r="G30" s="56">
        <v>6891</v>
      </c>
      <c r="H30" s="56">
        <v>6891</v>
      </c>
      <c r="I30" s="59">
        <f t="shared" si="1"/>
        <v>0.010065843558882629</v>
      </c>
      <c r="J30" s="56" t="s">
        <v>49</v>
      </c>
      <c r="K30" s="56">
        <f t="shared" si="8"/>
        <v>522.1999999999998</v>
      </c>
      <c r="L30" s="59">
        <f t="shared" si="9"/>
        <v>1.0819934681572667</v>
      </c>
      <c r="M30" s="61">
        <f t="shared" si="3"/>
        <v>0.011018421278168848</v>
      </c>
      <c r="N30" s="56" t="s">
        <v>49</v>
      </c>
      <c r="O30" s="62">
        <f t="shared" si="10"/>
        <v>0</v>
      </c>
      <c r="P30" s="61">
        <f t="shared" si="11"/>
        <v>1</v>
      </c>
      <c r="Q30" s="61">
        <f t="shared" si="5"/>
        <v>0.010566739749066382</v>
      </c>
      <c r="R30" s="56" t="s">
        <v>49</v>
      </c>
      <c r="S30" s="61">
        <f t="shared" si="12"/>
        <v>1</v>
      </c>
      <c r="T30" s="62">
        <f t="shared" si="7"/>
        <v>0</v>
      </c>
      <c r="U30" s="64">
        <v>684592.4</v>
      </c>
      <c r="V30" s="64">
        <v>170110.4</v>
      </c>
      <c r="W30" s="64">
        <v>625407.2</v>
      </c>
      <c r="X30" s="64">
        <v>176575</v>
      </c>
      <c r="Y30" s="64">
        <v>652140.6</v>
      </c>
      <c r="Z30" s="64">
        <v>183285</v>
      </c>
    </row>
    <row r="31" spans="1:26" s="52" customFormat="1" ht="28.5" customHeight="1">
      <c r="A31" s="43"/>
      <c r="B31" s="44" t="s">
        <v>280</v>
      </c>
      <c r="C31" s="45">
        <f aca="true" t="shared" si="14" ref="C31:H31">C9+C25</f>
        <v>635112.4</v>
      </c>
      <c r="D31" s="73">
        <f t="shared" si="14"/>
        <v>610709.8</v>
      </c>
      <c r="E31" s="47">
        <f t="shared" si="14"/>
        <v>642417.1</v>
      </c>
      <c r="F31" s="47">
        <f t="shared" si="14"/>
        <v>684592.4</v>
      </c>
      <c r="G31" s="47">
        <f t="shared" si="14"/>
        <v>625407.2</v>
      </c>
      <c r="H31" s="47">
        <f t="shared" si="14"/>
        <v>652140.6</v>
      </c>
      <c r="I31" s="48">
        <f t="shared" si="1"/>
        <v>1</v>
      </c>
      <c r="J31" s="47" t="s">
        <v>49</v>
      </c>
      <c r="K31" s="47">
        <f t="shared" si="8"/>
        <v>42175.30000000005</v>
      </c>
      <c r="L31" s="48">
        <f t="shared" si="9"/>
        <v>1.0656509610345055</v>
      </c>
      <c r="M31" s="49">
        <f t="shared" si="3"/>
        <v>1</v>
      </c>
      <c r="N31" s="47" t="s">
        <v>49</v>
      </c>
      <c r="O31" s="50">
        <f t="shared" si="10"/>
        <v>-59185.20000000007</v>
      </c>
      <c r="P31" s="49">
        <f t="shared" si="11"/>
        <v>0.9135468053691509</v>
      </c>
      <c r="Q31" s="49">
        <f t="shared" si="5"/>
        <v>1</v>
      </c>
      <c r="R31" s="47" t="s">
        <v>49</v>
      </c>
      <c r="S31" s="49">
        <f t="shared" si="12"/>
        <v>1.0427455903929472</v>
      </c>
      <c r="T31" s="50">
        <f t="shared" si="7"/>
        <v>26733.400000000023</v>
      </c>
      <c r="U31" s="51">
        <v>684592.4</v>
      </c>
      <c r="V31" s="51">
        <v>170110.4</v>
      </c>
      <c r="W31" s="51">
        <v>625407.2</v>
      </c>
      <c r="X31" s="51">
        <v>176575</v>
      </c>
      <c r="Y31" s="51">
        <v>652140.6</v>
      </c>
      <c r="Z31" s="51">
        <v>183285</v>
      </c>
    </row>
    <row r="32" spans="1:26" s="17" customFormat="1" ht="26.25" customHeight="1" hidden="1">
      <c r="A32" s="13"/>
      <c r="B32" s="13" t="s">
        <v>53</v>
      </c>
      <c r="C32" s="14">
        <f>C9</f>
        <v>151022.9</v>
      </c>
      <c r="D32" s="18">
        <f>D9</f>
        <v>140527.3</v>
      </c>
      <c r="E32" s="69">
        <f>E9</f>
        <v>168170.5</v>
      </c>
      <c r="F32" s="69">
        <f>F9</f>
        <v>170110.4</v>
      </c>
      <c r="G32" s="69"/>
      <c r="H32" s="69"/>
      <c r="I32" s="60">
        <f t="shared" si="1"/>
        <v>0.24848420753721484</v>
      </c>
      <c r="J32" s="69" t="s">
        <v>49</v>
      </c>
      <c r="K32" s="69">
        <f t="shared" si="8"/>
        <v>1939.8999999999942</v>
      </c>
      <c r="L32" s="48">
        <f t="shared" si="9"/>
        <v>1.0115353168361871</v>
      </c>
      <c r="M32" s="63">
        <f t="shared" si="3"/>
        <v>0</v>
      </c>
      <c r="N32" s="69" t="s">
        <v>49</v>
      </c>
      <c r="O32" s="71">
        <f t="shared" si="10"/>
        <v>-170110.4</v>
      </c>
      <c r="P32" s="49">
        <f t="shared" si="11"/>
        <v>0</v>
      </c>
      <c r="Q32" s="63">
        <f t="shared" si="5"/>
        <v>0</v>
      </c>
      <c r="R32" s="69" t="s">
        <v>49</v>
      </c>
      <c r="S32" s="49" t="e">
        <f t="shared" si="12"/>
        <v>#DIV/0!</v>
      </c>
      <c r="T32" s="71">
        <f t="shared" si="7"/>
        <v>0</v>
      </c>
      <c r="U32" s="38">
        <v>684592.4</v>
      </c>
      <c r="V32" s="38">
        <v>170110.4</v>
      </c>
      <c r="W32" s="38">
        <v>625407.2</v>
      </c>
      <c r="X32" s="38">
        <v>176575</v>
      </c>
      <c r="Y32" s="38">
        <v>652140.6</v>
      </c>
      <c r="Z32" s="38">
        <v>183285</v>
      </c>
    </row>
    <row r="33" spans="1:26" s="17" customFormat="1" ht="29.25" customHeight="1" hidden="1">
      <c r="A33" s="13"/>
      <c r="B33" s="13" t="s">
        <v>54</v>
      </c>
      <c r="C33" s="14">
        <f>C30</f>
        <v>22656.9</v>
      </c>
      <c r="D33" s="18">
        <f>D30</f>
        <v>8258.3</v>
      </c>
      <c r="E33" s="69">
        <f>E30</f>
        <v>6368.8</v>
      </c>
      <c r="F33" s="69">
        <f>F30</f>
        <v>6891</v>
      </c>
      <c r="G33" s="69"/>
      <c r="H33" s="69"/>
      <c r="I33" s="60">
        <f t="shared" si="1"/>
        <v>0.010065843558882629</v>
      </c>
      <c r="J33" s="69" t="s">
        <v>49</v>
      </c>
      <c r="K33" s="69">
        <f t="shared" si="8"/>
        <v>522.1999999999998</v>
      </c>
      <c r="L33" s="60">
        <f t="shared" si="9"/>
        <v>1.0819934681572667</v>
      </c>
      <c r="M33" s="63">
        <f t="shared" si="3"/>
        <v>0</v>
      </c>
      <c r="N33" s="69" t="s">
        <v>49</v>
      </c>
      <c r="O33" s="71">
        <f t="shared" si="10"/>
        <v>-6891</v>
      </c>
      <c r="P33" s="63">
        <f t="shared" si="11"/>
        <v>0</v>
      </c>
      <c r="Q33" s="63">
        <f t="shared" si="5"/>
        <v>0</v>
      </c>
      <c r="R33" s="69" t="s">
        <v>49</v>
      </c>
      <c r="S33" s="63" t="e">
        <f t="shared" si="12"/>
        <v>#DIV/0!</v>
      </c>
      <c r="T33" s="71">
        <f t="shared" si="7"/>
        <v>0</v>
      </c>
      <c r="U33" s="38">
        <v>684592.4</v>
      </c>
      <c r="V33" s="38">
        <v>170110.4</v>
      </c>
      <c r="W33" s="38">
        <v>625407.2</v>
      </c>
      <c r="X33" s="38">
        <v>176575</v>
      </c>
      <c r="Y33" s="38">
        <v>652140.6</v>
      </c>
      <c r="Z33" s="38">
        <v>183285</v>
      </c>
    </row>
    <row r="34" spans="1:26" s="17" customFormat="1" ht="19.5" hidden="1">
      <c r="A34" s="13"/>
      <c r="B34" s="13" t="s">
        <v>55</v>
      </c>
      <c r="C34" s="14">
        <f aca="true" t="shared" si="15" ref="C34:H34">C31-C33</f>
        <v>612455.5</v>
      </c>
      <c r="D34" s="18">
        <f t="shared" si="15"/>
        <v>602451.5</v>
      </c>
      <c r="E34" s="69">
        <f t="shared" si="15"/>
        <v>636048.2999999999</v>
      </c>
      <c r="F34" s="69">
        <f t="shared" si="15"/>
        <v>677701.4</v>
      </c>
      <c r="G34" s="69">
        <f t="shared" si="15"/>
        <v>625407.2</v>
      </c>
      <c r="H34" s="69">
        <f t="shared" si="15"/>
        <v>652140.6</v>
      </c>
      <c r="I34" s="60">
        <f t="shared" si="1"/>
        <v>0.9899341564411174</v>
      </c>
      <c r="J34" s="69" t="s">
        <v>49</v>
      </c>
      <c r="K34" s="69">
        <f t="shared" si="8"/>
        <v>41653.10000000009</v>
      </c>
      <c r="L34" s="60">
        <f t="shared" si="9"/>
        <v>1.0654873222678216</v>
      </c>
      <c r="M34" s="63">
        <f t="shared" si="3"/>
        <v>1</v>
      </c>
      <c r="N34" s="69" t="s">
        <v>49</v>
      </c>
      <c r="O34" s="71">
        <f t="shared" si="10"/>
        <v>-52294.20000000007</v>
      </c>
      <c r="P34" s="63">
        <f t="shared" si="11"/>
        <v>0.922835927445332</v>
      </c>
      <c r="Q34" s="63">
        <f t="shared" si="5"/>
        <v>1</v>
      </c>
      <c r="R34" s="69" t="s">
        <v>49</v>
      </c>
      <c r="S34" s="63">
        <f t="shared" si="12"/>
        <v>1.0427455903929472</v>
      </c>
      <c r="T34" s="71">
        <f t="shared" si="7"/>
        <v>26733.400000000023</v>
      </c>
      <c r="U34" s="38">
        <v>684592.4</v>
      </c>
      <c r="V34" s="38">
        <v>170110.4</v>
      </c>
      <c r="W34" s="38">
        <v>625407.2</v>
      </c>
      <c r="X34" s="38">
        <v>176575</v>
      </c>
      <c r="Y34" s="38">
        <v>652140.6</v>
      </c>
      <c r="Z34" s="38">
        <v>183285</v>
      </c>
    </row>
    <row r="35" spans="4:26" s="17" customFormat="1" ht="18.75">
      <c r="D35" s="19"/>
      <c r="Z35" s="38">
        <v>183285</v>
      </c>
    </row>
    <row r="36" s="17" customFormat="1" ht="18.75">
      <c r="D36" s="19"/>
    </row>
    <row r="37" s="17" customFormat="1" ht="18.75">
      <c r="D37" s="19"/>
    </row>
    <row r="38" s="17" customFormat="1" ht="18.75">
      <c r="D38" s="19"/>
    </row>
    <row r="39" s="17" customFormat="1" ht="18.75">
      <c r="D39" s="19"/>
    </row>
    <row r="40" s="17" customFormat="1" ht="18.75">
      <c r="D40" s="19"/>
    </row>
    <row r="41" s="17" customFormat="1" ht="18.75">
      <c r="D41" s="19"/>
    </row>
    <row r="42" s="17" customFormat="1" ht="18.75">
      <c r="D42" s="19"/>
    </row>
    <row r="43" s="17" customFormat="1" ht="18.75">
      <c r="D43" s="19"/>
    </row>
    <row r="44" s="17" customFormat="1" ht="18.75">
      <c r="D44" s="19"/>
    </row>
    <row r="45" s="17" customFormat="1" ht="18.75">
      <c r="D45" s="19"/>
    </row>
    <row r="46" s="17" customFormat="1" ht="18.75">
      <c r="D46" s="19"/>
    </row>
    <row r="47" s="17" customFormat="1" ht="18.75">
      <c r="D47" s="19"/>
    </row>
    <row r="48" s="17" customFormat="1" ht="18.75">
      <c r="D48" s="19"/>
    </row>
    <row r="49" s="17" customFormat="1" ht="18.75">
      <c r="D49" s="19"/>
    </row>
    <row r="50" s="17" customFormat="1" ht="18.75">
      <c r="D50" s="19"/>
    </row>
    <row r="51" s="17" customFormat="1" ht="18.75">
      <c r="D51" s="19"/>
    </row>
    <row r="52" s="17" customFormat="1" ht="18.75">
      <c r="D52" s="19"/>
    </row>
    <row r="53" s="17" customFormat="1" ht="18.75">
      <c r="D53" s="19"/>
    </row>
    <row r="54" s="17" customFormat="1" ht="18.75">
      <c r="D54" s="19"/>
    </row>
    <row r="55" s="17" customFormat="1" ht="18.75">
      <c r="D55" s="19"/>
    </row>
    <row r="56" s="17" customFormat="1" ht="18.75">
      <c r="D56" s="19"/>
    </row>
    <row r="57" s="17" customFormat="1" ht="18.75">
      <c r="D57" s="19"/>
    </row>
    <row r="58" s="17" customFormat="1" ht="18.75">
      <c r="D58" s="19"/>
    </row>
    <row r="59" s="17" customFormat="1" ht="18.75">
      <c r="D59" s="19"/>
    </row>
    <row r="60" ht="18.75">
      <c r="D60" s="74"/>
    </row>
    <row r="61" ht="18.75">
      <c r="D61" s="74"/>
    </row>
    <row r="62" ht="18.75">
      <c r="D62" s="74"/>
    </row>
    <row r="63" ht="18.75">
      <c r="D63" s="74"/>
    </row>
    <row r="64" ht="18.75">
      <c r="D64" s="74"/>
    </row>
    <row r="65" ht="18.75">
      <c r="D65" s="74"/>
    </row>
    <row r="66" ht="18.75">
      <c r="D66" s="74"/>
    </row>
    <row r="67" ht="18.75">
      <c r="D67" s="74"/>
    </row>
    <row r="68" ht="18.75">
      <c r="D68" s="74"/>
    </row>
    <row r="69" ht="18.75">
      <c r="D69" s="74"/>
    </row>
    <row r="70" ht="18.75">
      <c r="D70" s="74"/>
    </row>
    <row r="71" ht="18.75">
      <c r="D71" s="74"/>
    </row>
    <row r="72" ht="18.75">
      <c r="D72" s="74"/>
    </row>
    <row r="73" ht="18.75">
      <c r="D73" s="74"/>
    </row>
    <row r="74" ht="18.75">
      <c r="D74" s="74"/>
    </row>
    <row r="75" ht="18.75">
      <c r="D75" s="74"/>
    </row>
    <row r="76" ht="18.75">
      <c r="D76" s="74"/>
    </row>
    <row r="77" ht="18.75">
      <c r="D77" s="74"/>
    </row>
    <row r="78" ht="18.75">
      <c r="D78" s="74"/>
    </row>
    <row r="79" ht="18.75">
      <c r="D79" s="74"/>
    </row>
    <row r="80" ht="18.75">
      <c r="D80" s="74"/>
    </row>
    <row r="81" ht="18.75">
      <c r="D81" s="74"/>
    </row>
    <row r="82" ht="18.75">
      <c r="D82" s="74"/>
    </row>
    <row r="83" ht="18.75">
      <c r="D83" s="74"/>
    </row>
    <row r="84" ht="18.75">
      <c r="D84" s="74"/>
    </row>
    <row r="85" ht="18.75">
      <c r="D85" s="74"/>
    </row>
    <row r="86" ht="18.75">
      <c r="D86" s="74"/>
    </row>
    <row r="87" ht="18.75">
      <c r="D87" s="74"/>
    </row>
    <row r="88" ht="18.75">
      <c r="D88" s="74"/>
    </row>
    <row r="89" ht="18.75">
      <c r="D89" s="74"/>
    </row>
    <row r="90" ht="18.75">
      <c r="D90" s="74"/>
    </row>
    <row r="91" ht="18.75">
      <c r="D91" s="74"/>
    </row>
    <row r="92" ht="18.75">
      <c r="D92" s="74"/>
    </row>
    <row r="93" ht="18.75">
      <c r="D93" s="74"/>
    </row>
    <row r="94" ht="18.75">
      <c r="D94" s="74"/>
    </row>
    <row r="95" ht="18.75">
      <c r="D95" s="74"/>
    </row>
    <row r="96" ht="18.75">
      <c r="D96" s="74"/>
    </row>
    <row r="97" ht="18.75">
      <c r="D97" s="74"/>
    </row>
    <row r="98" ht="18.75">
      <c r="D98" s="74"/>
    </row>
    <row r="99" ht="18.75">
      <c r="D99" s="74"/>
    </row>
    <row r="100" ht="18.75">
      <c r="D100" s="74"/>
    </row>
    <row r="101" ht="18.75">
      <c r="D101" s="74"/>
    </row>
    <row r="102" ht="18.75">
      <c r="D102" s="74"/>
    </row>
    <row r="103" ht="18.75">
      <c r="D103" s="74"/>
    </row>
    <row r="104" ht="18.75">
      <c r="D104" s="74"/>
    </row>
    <row r="105" ht="18.75">
      <c r="D105" s="74"/>
    </row>
    <row r="106" ht="18.75">
      <c r="D106" s="74"/>
    </row>
    <row r="107" ht="18.75">
      <c r="D107" s="74"/>
    </row>
    <row r="108" ht="18.75">
      <c r="D108" s="74"/>
    </row>
    <row r="109" ht="18.75">
      <c r="D109" s="74"/>
    </row>
    <row r="110" ht="18.75">
      <c r="D110" s="74"/>
    </row>
    <row r="111" ht="18.75">
      <c r="D111" s="74"/>
    </row>
    <row r="112" ht="18.75">
      <c r="D112" s="74"/>
    </row>
    <row r="113" ht="18.75">
      <c r="D113" s="74"/>
    </row>
    <row r="114" ht="18.75">
      <c r="D114" s="74"/>
    </row>
    <row r="115" ht="18.75">
      <c r="D115" s="74"/>
    </row>
    <row r="116" ht="18.75">
      <c r="D116" s="74"/>
    </row>
    <row r="117" ht="18.75">
      <c r="D117" s="74"/>
    </row>
    <row r="118" ht="18.75">
      <c r="D118" s="74"/>
    </row>
    <row r="119" ht="18.75">
      <c r="D119" s="74"/>
    </row>
    <row r="120" ht="18.75">
      <c r="D120" s="74"/>
    </row>
    <row r="121" ht="18.75">
      <c r="D121" s="74"/>
    </row>
    <row r="122" ht="18.75">
      <c r="D122" s="74"/>
    </row>
    <row r="123" ht="18.75">
      <c r="D123" s="74"/>
    </row>
    <row r="124" ht="18.75">
      <c r="D124" s="74"/>
    </row>
    <row r="125" ht="18.75">
      <c r="D125" s="74"/>
    </row>
    <row r="126" ht="18.75">
      <c r="D126" s="74"/>
    </row>
    <row r="127" ht="18.75">
      <c r="D127" s="74"/>
    </row>
    <row r="128" ht="18.75">
      <c r="D128" s="74"/>
    </row>
    <row r="129" ht="18.75">
      <c r="D129" s="74"/>
    </row>
    <row r="130" ht="18.75">
      <c r="D130" s="74"/>
    </row>
    <row r="131" ht="18.75">
      <c r="D131" s="74"/>
    </row>
    <row r="132" ht="18.75">
      <c r="D132" s="74"/>
    </row>
    <row r="133" ht="18.75">
      <c r="D133" s="74"/>
    </row>
    <row r="134" ht="18.75">
      <c r="D134" s="74"/>
    </row>
    <row r="135" ht="18.75">
      <c r="D135" s="74"/>
    </row>
    <row r="136" ht="18.75">
      <c r="D136" s="74"/>
    </row>
    <row r="137" ht="18.75">
      <c r="D137" s="74"/>
    </row>
    <row r="138" ht="18.75">
      <c r="D138" s="74"/>
    </row>
    <row r="139" ht="18.75">
      <c r="D139" s="74"/>
    </row>
    <row r="140" ht="18.75">
      <c r="D140" s="74"/>
    </row>
    <row r="141" ht="18.75">
      <c r="D141" s="74"/>
    </row>
    <row r="142" ht="18.75">
      <c r="D142" s="74"/>
    </row>
    <row r="143" ht="18.75">
      <c r="D143" s="74"/>
    </row>
    <row r="144" ht="18.75">
      <c r="D144" s="74"/>
    </row>
    <row r="145" ht="18.75">
      <c r="D145" s="74"/>
    </row>
    <row r="146" ht="18.75">
      <c r="D146" s="74"/>
    </row>
    <row r="147" ht="18.75">
      <c r="D147" s="74"/>
    </row>
    <row r="148" ht="18.75">
      <c r="D148" s="74"/>
    </row>
    <row r="149" ht="18.75">
      <c r="D149" s="74"/>
    </row>
    <row r="150" ht="18.75">
      <c r="D150" s="74"/>
    </row>
    <row r="151" ht="18.75">
      <c r="D151" s="74"/>
    </row>
    <row r="152" ht="18.75">
      <c r="D152" s="74"/>
    </row>
    <row r="153" ht="18.75">
      <c r="D153" s="74"/>
    </row>
    <row r="154" ht="18.75">
      <c r="D154" s="74"/>
    </row>
    <row r="155" ht="18.75">
      <c r="D155" s="74"/>
    </row>
    <row r="156" ht="18.75">
      <c r="D156" s="74"/>
    </row>
    <row r="157" ht="18.75">
      <c r="D157" s="74"/>
    </row>
    <row r="158" ht="18.75">
      <c r="D158" s="74"/>
    </row>
    <row r="159" ht="18.75">
      <c r="D159" s="74"/>
    </row>
    <row r="160" ht="18.75">
      <c r="D160" s="74"/>
    </row>
    <row r="161" ht="18.75">
      <c r="D161" s="74"/>
    </row>
    <row r="162" ht="18.75">
      <c r="D162" s="74"/>
    </row>
    <row r="163" ht="18.75">
      <c r="D163" s="74"/>
    </row>
    <row r="164" ht="18.75">
      <c r="D164" s="74"/>
    </row>
    <row r="165" ht="18.75">
      <c r="D165" s="74"/>
    </row>
    <row r="166" ht="18.75">
      <c r="D166" s="74"/>
    </row>
    <row r="167" ht="18.75">
      <c r="D167" s="74"/>
    </row>
    <row r="168" ht="18.75">
      <c r="D168" s="74"/>
    </row>
    <row r="169" ht="18.75">
      <c r="D169" s="74"/>
    </row>
    <row r="170" ht="18.75">
      <c r="D170" s="74"/>
    </row>
    <row r="171" ht="18.75">
      <c r="D171" s="74"/>
    </row>
    <row r="172" ht="18.75">
      <c r="D172" s="74"/>
    </row>
    <row r="173" ht="18.75">
      <c r="D173" s="74"/>
    </row>
    <row r="174" ht="18.75">
      <c r="D174" s="74"/>
    </row>
    <row r="175" ht="18.75">
      <c r="D175" s="74"/>
    </row>
    <row r="176" ht="18.75">
      <c r="D176" s="74"/>
    </row>
    <row r="177" ht="18.75">
      <c r="D177" s="74"/>
    </row>
    <row r="178" ht="18.75">
      <c r="D178" s="74"/>
    </row>
    <row r="179" ht="18.75">
      <c r="D179" s="74"/>
    </row>
    <row r="180" ht="18.75">
      <c r="D180" s="74"/>
    </row>
    <row r="181" ht="18.75">
      <c r="D181" s="74"/>
    </row>
    <row r="182" ht="18.75">
      <c r="D182" s="74"/>
    </row>
    <row r="183" ht="18.75">
      <c r="D183" s="74"/>
    </row>
    <row r="184" ht="18.75">
      <c r="D184" s="74"/>
    </row>
    <row r="185" ht="18.75">
      <c r="D185" s="74"/>
    </row>
    <row r="186" ht="18.75">
      <c r="D186" s="74"/>
    </row>
    <row r="187" ht="18.75">
      <c r="D187" s="74"/>
    </row>
    <row r="188" ht="18.75">
      <c r="D188" s="74"/>
    </row>
    <row r="189" ht="18.75">
      <c r="D189" s="74"/>
    </row>
    <row r="190" ht="18.75">
      <c r="D190" s="74"/>
    </row>
    <row r="191" ht="18.75">
      <c r="D191" s="74"/>
    </row>
    <row r="192" ht="18.75">
      <c r="D192" s="74"/>
    </row>
    <row r="193" ht="18.75">
      <c r="D193" s="74"/>
    </row>
    <row r="194" ht="18.75">
      <c r="D194" s="74"/>
    </row>
    <row r="195" ht="18.75">
      <c r="D195" s="74"/>
    </row>
    <row r="196" ht="18.75">
      <c r="D196" s="74"/>
    </row>
    <row r="197" ht="18.75">
      <c r="D197" s="74"/>
    </row>
    <row r="198" ht="18.75">
      <c r="D198" s="74"/>
    </row>
    <row r="199" ht="18.75">
      <c r="D199" s="74"/>
    </row>
    <row r="200" ht="18.75">
      <c r="D200" s="74"/>
    </row>
    <row r="201" ht="18.75">
      <c r="D201" s="74"/>
    </row>
    <row r="202" ht="18.75">
      <c r="D202" s="74"/>
    </row>
    <row r="203" ht="18.75">
      <c r="D203" s="74"/>
    </row>
    <row r="204" ht="18.75">
      <c r="D204" s="74"/>
    </row>
    <row r="205" ht="18.75">
      <c r="D205" s="74"/>
    </row>
    <row r="206" ht="18.75">
      <c r="D206" s="74"/>
    </row>
    <row r="207" ht="18.75">
      <c r="D207" s="74"/>
    </row>
    <row r="208" ht="18.75">
      <c r="D208" s="74"/>
    </row>
    <row r="209" ht="18.75">
      <c r="D209" s="74"/>
    </row>
    <row r="210" ht="18.75">
      <c r="D210" s="74"/>
    </row>
    <row r="211" ht="18.75">
      <c r="D211" s="74"/>
    </row>
    <row r="212" ht="18.75">
      <c r="D212" s="74"/>
    </row>
    <row r="213" ht="18.75">
      <c r="D213" s="74"/>
    </row>
    <row r="214" ht="18.75">
      <c r="D214" s="74"/>
    </row>
    <row r="215" ht="18.75">
      <c r="D215" s="74"/>
    </row>
    <row r="216" ht="18.75">
      <c r="D216" s="74"/>
    </row>
    <row r="217" ht="18.75">
      <c r="D217" s="74"/>
    </row>
    <row r="218" ht="18.75">
      <c r="D218" s="74"/>
    </row>
    <row r="219" ht="18.75">
      <c r="D219" s="74"/>
    </row>
    <row r="220" ht="18.75">
      <c r="D220" s="74"/>
    </row>
    <row r="221" ht="18.75">
      <c r="D221" s="74"/>
    </row>
    <row r="222" ht="18.75">
      <c r="D222" s="74"/>
    </row>
    <row r="223" ht="18.75">
      <c r="D223" s="74"/>
    </row>
    <row r="224" ht="18.75">
      <c r="D224" s="74"/>
    </row>
    <row r="225" ht="18.75">
      <c r="D225" s="74"/>
    </row>
    <row r="226" ht="18.75">
      <c r="D226" s="74"/>
    </row>
    <row r="227" ht="18.75">
      <c r="D227" s="74"/>
    </row>
    <row r="228" ht="18.75">
      <c r="D228" s="74"/>
    </row>
    <row r="229" ht="18.75">
      <c r="D229" s="74"/>
    </row>
    <row r="230" ht="18.75">
      <c r="D230" s="74"/>
    </row>
    <row r="231" ht="18.75">
      <c r="D231" s="74"/>
    </row>
    <row r="232" ht="18.75">
      <c r="D232" s="74"/>
    </row>
    <row r="233" ht="18.75">
      <c r="D233" s="74"/>
    </row>
    <row r="234" ht="18.75">
      <c r="D234" s="74"/>
    </row>
    <row r="235" ht="18.75">
      <c r="D235" s="74"/>
    </row>
    <row r="236" ht="18.75">
      <c r="D236" s="74"/>
    </row>
    <row r="237" ht="18.75">
      <c r="D237" s="74"/>
    </row>
    <row r="238" ht="18.75">
      <c r="D238" s="74"/>
    </row>
    <row r="239" ht="18.75">
      <c r="D239" s="74"/>
    </row>
    <row r="240" ht="18.75">
      <c r="D240" s="74"/>
    </row>
    <row r="241" ht="18.75">
      <c r="D241" s="74"/>
    </row>
    <row r="242" ht="18.75">
      <c r="D242" s="74"/>
    </row>
    <row r="243" ht="18.75">
      <c r="D243" s="74"/>
    </row>
    <row r="244" ht="18.75">
      <c r="D244" s="74"/>
    </row>
    <row r="245" ht="18.75">
      <c r="D245" s="74"/>
    </row>
    <row r="246" ht="18.75">
      <c r="D246" s="74"/>
    </row>
    <row r="247" ht="18.75">
      <c r="D247" s="74"/>
    </row>
    <row r="248" ht="18.75">
      <c r="D248" s="74"/>
    </row>
    <row r="249" ht="18.75">
      <c r="D249" s="74"/>
    </row>
    <row r="250" ht="18.75">
      <c r="D250" s="74"/>
    </row>
    <row r="251" ht="18.75">
      <c r="D251" s="74"/>
    </row>
    <row r="252" ht="18.75">
      <c r="D252" s="74"/>
    </row>
    <row r="253" ht="18.75">
      <c r="D253" s="74"/>
    </row>
    <row r="254" ht="18.75">
      <c r="D254" s="74"/>
    </row>
    <row r="255" ht="18.75">
      <c r="D255" s="74"/>
    </row>
    <row r="256" ht="18.75">
      <c r="D256" s="74"/>
    </row>
    <row r="257" ht="18.75">
      <c r="D257" s="74"/>
    </row>
    <row r="258" ht="18.75">
      <c r="D258" s="74"/>
    </row>
    <row r="259" ht="18.75">
      <c r="D259" s="74"/>
    </row>
    <row r="260" ht="18.75">
      <c r="D260" s="74"/>
    </row>
    <row r="261" ht="18.75">
      <c r="D261" s="74"/>
    </row>
    <row r="262" ht="18.75">
      <c r="D262" s="74"/>
    </row>
    <row r="263" ht="18.75">
      <c r="D263" s="74"/>
    </row>
    <row r="264" ht="18.75">
      <c r="D264" s="74"/>
    </row>
    <row r="265" ht="18.75">
      <c r="D265" s="74"/>
    </row>
    <row r="266" ht="18.75">
      <c r="D266" s="74"/>
    </row>
    <row r="267" ht="18.75">
      <c r="D267" s="74"/>
    </row>
    <row r="268" ht="18.75">
      <c r="D268" s="74"/>
    </row>
    <row r="269" ht="18.75">
      <c r="D269" s="74"/>
    </row>
    <row r="270" ht="18.75">
      <c r="D270" s="74"/>
    </row>
    <row r="271" ht="18.75">
      <c r="D271" s="74"/>
    </row>
    <row r="272" ht="18.75">
      <c r="D272" s="74"/>
    </row>
    <row r="273" ht="18.75">
      <c r="D273" s="74"/>
    </row>
    <row r="274" ht="18.75">
      <c r="D274" s="74"/>
    </row>
    <row r="275" ht="18.75">
      <c r="D275" s="74"/>
    </row>
    <row r="276" ht="18.75">
      <c r="D276" s="74"/>
    </row>
    <row r="277" ht="18.75">
      <c r="D277" s="74"/>
    </row>
    <row r="278" ht="18.75">
      <c r="D278" s="74"/>
    </row>
    <row r="279" ht="18.75">
      <c r="D279" s="74"/>
    </row>
    <row r="280" ht="18.75">
      <c r="D280" s="74"/>
    </row>
    <row r="281" ht="18.75">
      <c r="D281" s="74"/>
    </row>
    <row r="282" ht="18.75">
      <c r="D282" s="74"/>
    </row>
    <row r="283" ht="18.75">
      <c r="D283" s="74"/>
    </row>
    <row r="284" ht="18.75">
      <c r="D284" s="74"/>
    </row>
    <row r="285" ht="18.75">
      <c r="D285" s="74"/>
    </row>
    <row r="286" ht="18.75">
      <c r="D286" s="74"/>
    </row>
    <row r="287" ht="18.75">
      <c r="D287" s="74"/>
    </row>
    <row r="288" ht="18.75">
      <c r="D288" s="74"/>
    </row>
    <row r="289" ht="18.75">
      <c r="D289" s="74"/>
    </row>
    <row r="290" ht="18.75">
      <c r="D290" s="74"/>
    </row>
    <row r="291" ht="18.75">
      <c r="D291" s="74"/>
    </row>
    <row r="292" ht="18.75">
      <c r="D292" s="74"/>
    </row>
    <row r="293" ht="18.75">
      <c r="D293" s="74"/>
    </row>
    <row r="294" ht="18.75">
      <c r="D294" s="74"/>
    </row>
    <row r="295" ht="18.75">
      <c r="D295" s="74"/>
    </row>
    <row r="296" ht="18.75">
      <c r="D296" s="74"/>
    </row>
    <row r="297" ht="18.75">
      <c r="D297" s="74"/>
    </row>
    <row r="298" ht="18.75">
      <c r="D298" s="74"/>
    </row>
    <row r="299" ht="18.75">
      <c r="D299" s="74"/>
    </row>
    <row r="300" ht="18.75">
      <c r="D300" s="74"/>
    </row>
    <row r="301" ht="18.75">
      <c r="D301" s="74"/>
    </row>
    <row r="302" ht="18.75">
      <c r="D302" s="74"/>
    </row>
    <row r="303" ht="18.75">
      <c r="D303" s="74"/>
    </row>
    <row r="304" ht="18.75">
      <c r="D304" s="74"/>
    </row>
    <row r="305" ht="18.75">
      <c r="D305" s="74"/>
    </row>
    <row r="306" ht="18.75">
      <c r="D306" s="74"/>
    </row>
    <row r="307" ht="18.75">
      <c r="D307" s="74"/>
    </row>
    <row r="308" ht="18.75">
      <c r="D308" s="74"/>
    </row>
    <row r="309" ht="18.75">
      <c r="D309" s="74"/>
    </row>
    <row r="310" ht="18.75">
      <c r="D310" s="74"/>
    </row>
    <row r="311" ht="18.75">
      <c r="D311" s="74"/>
    </row>
    <row r="312" ht="18.75">
      <c r="D312" s="74"/>
    </row>
    <row r="313" ht="18.75">
      <c r="D313" s="74"/>
    </row>
    <row r="314" ht="18.75">
      <c r="D314" s="74"/>
    </row>
    <row r="315" ht="18.75">
      <c r="D315" s="74"/>
    </row>
    <row r="316" ht="18.75">
      <c r="D316" s="74"/>
    </row>
    <row r="317" ht="18.75">
      <c r="D317" s="74"/>
    </row>
    <row r="318" ht="18.75">
      <c r="D318" s="74"/>
    </row>
    <row r="319" ht="18.75">
      <c r="D319" s="74"/>
    </row>
    <row r="320" ht="18.75">
      <c r="D320" s="74"/>
    </row>
    <row r="321" ht="18.75">
      <c r="D321" s="74"/>
    </row>
    <row r="322" ht="18.75">
      <c r="D322" s="74"/>
    </row>
    <row r="323" ht="18.75">
      <c r="D323" s="74"/>
    </row>
    <row r="324" ht="18.75">
      <c r="D324" s="74"/>
    </row>
    <row r="325" ht="18.75">
      <c r="D325" s="74"/>
    </row>
    <row r="326" ht="18.75">
      <c r="D326" s="74"/>
    </row>
    <row r="327" ht="18.75">
      <c r="D327" s="74"/>
    </row>
    <row r="328" ht="18.75">
      <c r="D328" s="74"/>
    </row>
    <row r="329" ht="18.75">
      <c r="D329" s="74"/>
    </row>
    <row r="330" ht="18.75">
      <c r="D330" s="74"/>
    </row>
    <row r="331" ht="18.75">
      <c r="D331" s="74"/>
    </row>
    <row r="332" ht="18.75">
      <c r="D332" s="74"/>
    </row>
    <row r="333" ht="18.75">
      <c r="D333" s="74"/>
    </row>
    <row r="334" ht="18.75">
      <c r="D334" s="74"/>
    </row>
    <row r="335" ht="18.75">
      <c r="D335" s="74"/>
    </row>
    <row r="336" ht="18.75">
      <c r="D336" s="74"/>
    </row>
    <row r="337" ht="18.75">
      <c r="D337" s="74"/>
    </row>
    <row r="338" ht="18.75">
      <c r="D338" s="74"/>
    </row>
    <row r="339" ht="18.75">
      <c r="D339" s="74"/>
    </row>
    <row r="340" ht="18.75">
      <c r="D340" s="74"/>
    </row>
    <row r="341" ht="18.75">
      <c r="D341" s="74"/>
    </row>
    <row r="342" ht="18.75">
      <c r="D342" s="74"/>
    </row>
    <row r="343" ht="18.75">
      <c r="D343" s="74"/>
    </row>
    <row r="344" ht="18.75">
      <c r="D344" s="74"/>
    </row>
    <row r="345" ht="18.75">
      <c r="D345" s="74"/>
    </row>
    <row r="346" ht="18.75">
      <c r="D346" s="74"/>
    </row>
    <row r="347" ht="18.75">
      <c r="D347" s="74"/>
    </row>
    <row r="348" ht="18.75">
      <c r="D348" s="74"/>
    </row>
    <row r="349" ht="18.75">
      <c r="D349" s="74"/>
    </row>
    <row r="350" ht="18.75">
      <c r="D350" s="74"/>
    </row>
    <row r="351" ht="18.75">
      <c r="D351" s="74"/>
    </row>
    <row r="352" ht="18.75">
      <c r="D352" s="74"/>
    </row>
    <row r="353" ht="18.75">
      <c r="D353" s="74"/>
    </row>
    <row r="354" ht="18.75">
      <c r="D354" s="74"/>
    </row>
    <row r="355" ht="18.75">
      <c r="D355" s="74"/>
    </row>
    <row r="356" ht="18.75">
      <c r="D356" s="74"/>
    </row>
    <row r="357" ht="18.75">
      <c r="D357" s="74"/>
    </row>
    <row r="358" ht="18.75">
      <c r="D358" s="74"/>
    </row>
    <row r="359" ht="18.75">
      <c r="D359" s="74"/>
    </row>
    <row r="360" ht="18.75">
      <c r="D360" s="74"/>
    </row>
    <row r="361" ht="18.75">
      <c r="D361" s="74"/>
    </row>
    <row r="362" ht="18.75">
      <c r="D362" s="74"/>
    </row>
    <row r="363" ht="18.75">
      <c r="D363" s="74"/>
    </row>
    <row r="364" ht="18.75">
      <c r="D364" s="74"/>
    </row>
    <row r="365" ht="18.75">
      <c r="D365" s="74"/>
    </row>
    <row r="366" ht="18.75">
      <c r="D366" s="74"/>
    </row>
    <row r="367" ht="18.75">
      <c r="D367" s="74"/>
    </row>
    <row r="368" ht="18.75">
      <c r="D368" s="74"/>
    </row>
    <row r="369" ht="18.75">
      <c r="D369" s="74"/>
    </row>
    <row r="370" ht="18.75">
      <c r="D370" s="74"/>
    </row>
    <row r="371" ht="18.75">
      <c r="D371" s="74"/>
    </row>
    <row r="372" ht="18.75">
      <c r="D372" s="74"/>
    </row>
    <row r="373" ht="18.75">
      <c r="D373" s="74"/>
    </row>
    <row r="374" ht="18.75">
      <c r="D374" s="74"/>
    </row>
    <row r="375" ht="18.75">
      <c r="D375" s="74"/>
    </row>
    <row r="376" ht="18.75">
      <c r="D376" s="74"/>
    </row>
    <row r="377" ht="18.75">
      <c r="D377" s="74"/>
    </row>
    <row r="378" ht="18.75">
      <c r="D378" s="74"/>
    </row>
    <row r="379" ht="18.75">
      <c r="D379" s="74"/>
    </row>
    <row r="380" ht="18.75">
      <c r="D380" s="74"/>
    </row>
    <row r="381" ht="18.75">
      <c r="D381" s="74"/>
    </row>
    <row r="382" ht="18.75">
      <c r="D382" s="74"/>
    </row>
    <row r="383" ht="18.75">
      <c r="D383" s="74"/>
    </row>
    <row r="384" ht="18.75">
      <c r="D384" s="74"/>
    </row>
    <row r="385" ht="18.75">
      <c r="D385" s="74"/>
    </row>
    <row r="386" ht="18.75">
      <c r="D386" s="74"/>
    </row>
    <row r="387" ht="18.75">
      <c r="D387" s="74"/>
    </row>
    <row r="388" ht="18.75">
      <c r="D388" s="74"/>
    </row>
    <row r="389" ht="18.75">
      <c r="D389" s="74"/>
    </row>
    <row r="390" ht="18.75">
      <c r="D390" s="74"/>
    </row>
    <row r="391" ht="18.75">
      <c r="D391" s="74"/>
    </row>
    <row r="392" ht="18.75">
      <c r="D392" s="74"/>
    </row>
    <row r="393" ht="18.75">
      <c r="D393" s="74"/>
    </row>
    <row r="394" ht="18.75">
      <c r="D394" s="74"/>
    </row>
    <row r="395" ht="18.75">
      <c r="D395" s="74"/>
    </row>
    <row r="396" ht="18.75">
      <c r="D396" s="74"/>
    </row>
    <row r="397" ht="18.75">
      <c r="D397" s="74"/>
    </row>
    <row r="398" ht="18.75">
      <c r="D398" s="74"/>
    </row>
    <row r="399" ht="18.75">
      <c r="D399" s="74"/>
    </row>
    <row r="400" ht="18.75">
      <c r="D400" s="74"/>
    </row>
    <row r="401" ht="18.75">
      <c r="D401" s="74"/>
    </row>
    <row r="402" ht="18.75">
      <c r="D402" s="74"/>
    </row>
    <row r="403" ht="18.75">
      <c r="D403" s="74"/>
    </row>
    <row r="404" ht="18.75">
      <c r="D404" s="74"/>
    </row>
    <row r="405" ht="18.75">
      <c r="D405" s="74"/>
    </row>
    <row r="406" ht="18.75">
      <c r="D406" s="74"/>
    </row>
    <row r="407" ht="18.75">
      <c r="D407" s="74"/>
    </row>
    <row r="408" ht="18.75">
      <c r="D408" s="74"/>
    </row>
    <row r="409" ht="18.75">
      <c r="D409" s="74"/>
    </row>
    <row r="410" ht="18.75">
      <c r="D410" s="74"/>
    </row>
    <row r="411" ht="18.75">
      <c r="D411" s="74"/>
    </row>
    <row r="412" ht="18.75">
      <c r="D412" s="74"/>
    </row>
    <row r="413" ht="18.75">
      <c r="D413" s="74"/>
    </row>
    <row r="414" ht="18.75">
      <c r="D414" s="74"/>
    </row>
    <row r="415" ht="18.75">
      <c r="D415" s="74"/>
    </row>
    <row r="416" ht="18.75">
      <c r="D416" s="74"/>
    </row>
    <row r="417" ht="18.75">
      <c r="D417" s="74"/>
    </row>
    <row r="418" ht="18.75">
      <c r="D418" s="74"/>
    </row>
    <row r="419" ht="18.75">
      <c r="D419" s="74"/>
    </row>
    <row r="420" ht="18.75">
      <c r="D420" s="74"/>
    </row>
    <row r="421" ht="18.75">
      <c r="D421" s="74"/>
    </row>
    <row r="422" ht="18.75">
      <c r="D422" s="74"/>
    </row>
    <row r="423" ht="18.75">
      <c r="D423" s="74"/>
    </row>
    <row r="424" ht="18.75">
      <c r="D424" s="74"/>
    </row>
    <row r="425" ht="18.75">
      <c r="D425" s="74"/>
    </row>
    <row r="426" ht="18.75">
      <c r="D426" s="74"/>
    </row>
    <row r="427" ht="18.75">
      <c r="D427" s="74"/>
    </row>
    <row r="428" ht="18.75">
      <c r="D428" s="74"/>
    </row>
    <row r="429" ht="18.75">
      <c r="D429" s="74"/>
    </row>
    <row r="430" ht="18.75">
      <c r="D430" s="74"/>
    </row>
    <row r="431" ht="18.75">
      <c r="D431" s="74"/>
    </row>
    <row r="432" ht="18.75">
      <c r="D432" s="74"/>
    </row>
    <row r="433" ht="18.75">
      <c r="D433" s="74"/>
    </row>
    <row r="434" ht="18.75">
      <c r="D434" s="74"/>
    </row>
    <row r="435" ht="18.75">
      <c r="D435" s="74"/>
    </row>
    <row r="436" ht="18.75">
      <c r="D436" s="74"/>
    </row>
    <row r="437" ht="18.75">
      <c r="D437" s="74"/>
    </row>
    <row r="438" ht="18.75">
      <c r="D438" s="74"/>
    </row>
    <row r="439" ht="18.75">
      <c r="D439" s="74"/>
    </row>
    <row r="440" ht="18.75">
      <c r="D440" s="74"/>
    </row>
    <row r="441" ht="18.75">
      <c r="D441" s="74"/>
    </row>
    <row r="442" ht="18.75">
      <c r="D442" s="74"/>
    </row>
    <row r="443" ht="18.75">
      <c r="D443" s="74"/>
    </row>
    <row r="444" ht="18.75">
      <c r="D444" s="74"/>
    </row>
    <row r="445" ht="18.75">
      <c r="D445" s="74"/>
    </row>
    <row r="446" ht="18.75">
      <c r="D446" s="74"/>
    </row>
    <row r="447" ht="18.75">
      <c r="D447" s="74"/>
    </row>
    <row r="448" ht="18.75">
      <c r="D448" s="74"/>
    </row>
    <row r="449" ht="18.75">
      <c r="D449" s="74"/>
    </row>
    <row r="450" ht="18.75">
      <c r="D450" s="74"/>
    </row>
    <row r="451" ht="18.75">
      <c r="D451" s="74"/>
    </row>
    <row r="452" ht="18.75">
      <c r="D452" s="74"/>
    </row>
    <row r="453" ht="18.75">
      <c r="D453" s="74"/>
    </row>
    <row r="454" ht="18.75">
      <c r="D454" s="74"/>
    </row>
    <row r="455" ht="18.75">
      <c r="D455" s="74"/>
    </row>
    <row r="456" ht="18.75">
      <c r="D456" s="74"/>
    </row>
    <row r="457" ht="18.75">
      <c r="D457" s="74"/>
    </row>
    <row r="458" ht="18.75">
      <c r="D458" s="74"/>
    </row>
    <row r="459" ht="18.75">
      <c r="D459" s="74"/>
    </row>
    <row r="460" ht="18.75">
      <c r="D460" s="74"/>
    </row>
    <row r="461" ht="18.75">
      <c r="D461" s="74"/>
    </row>
    <row r="462" ht="18.75">
      <c r="D462" s="74"/>
    </row>
    <row r="463" ht="18.75">
      <c r="D463" s="74"/>
    </row>
    <row r="464" ht="18.75">
      <c r="D464" s="74"/>
    </row>
    <row r="465" ht="18.75">
      <c r="D465" s="74"/>
    </row>
    <row r="466" ht="18.75">
      <c r="D466" s="74"/>
    </row>
    <row r="467" ht="18.75">
      <c r="D467" s="74"/>
    </row>
    <row r="468" ht="18.75">
      <c r="D468" s="74"/>
    </row>
    <row r="469" ht="18.75">
      <c r="D469" s="74"/>
    </row>
    <row r="470" ht="18.75">
      <c r="D470" s="74"/>
    </row>
    <row r="471" ht="18.75">
      <c r="D471" s="74"/>
    </row>
    <row r="472" ht="18.75">
      <c r="D472" s="74"/>
    </row>
    <row r="473" ht="18.75">
      <c r="D473" s="74"/>
    </row>
    <row r="474" ht="18.75">
      <c r="D474" s="74"/>
    </row>
    <row r="475" ht="18.75">
      <c r="D475" s="74"/>
    </row>
    <row r="476" ht="18.75">
      <c r="D476" s="74"/>
    </row>
    <row r="477" ht="18.75">
      <c r="D477" s="74"/>
    </row>
    <row r="478" ht="18.75">
      <c r="D478" s="74"/>
    </row>
    <row r="479" ht="18.75">
      <c r="D479" s="74"/>
    </row>
    <row r="480" ht="18.75">
      <c r="D480" s="74"/>
    </row>
    <row r="481" ht="18.75">
      <c r="D481" s="74"/>
    </row>
    <row r="482" ht="18.75">
      <c r="D482" s="74"/>
    </row>
    <row r="483" ht="18.75">
      <c r="D483" s="74"/>
    </row>
    <row r="484" ht="18.75">
      <c r="D484" s="74"/>
    </row>
    <row r="485" ht="18.75">
      <c r="D485" s="74"/>
    </row>
    <row r="486" ht="18.75">
      <c r="D486" s="74"/>
    </row>
    <row r="487" ht="18.75">
      <c r="D487" s="74"/>
    </row>
    <row r="488" ht="18.75">
      <c r="D488" s="74"/>
    </row>
    <row r="489" ht="18.75">
      <c r="D489" s="74"/>
    </row>
    <row r="490" ht="18.75">
      <c r="D490" s="74"/>
    </row>
    <row r="491" ht="18.75">
      <c r="D491" s="74"/>
    </row>
    <row r="492" ht="18.75">
      <c r="D492" s="74"/>
    </row>
    <row r="493" ht="18.75">
      <c r="D493" s="74"/>
    </row>
    <row r="494" ht="18.75">
      <c r="D494" s="74"/>
    </row>
    <row r="495" ht="18.75">
      <c r="D495" s="74"/>
    </row>
    <row r="496" ht="18.75">
      <c r="D496" s="74"/>
    </row>
    <row r="497" ht="18.75">
      <c r="D497" s="74"/>
    </row>
    <row r="498" ht="18.75">
      <c r="D498" s="74"/>
    </row>
    <row r="499" ht="18.75">
      <c r="D499" s="74"/>
    </row>
    <row r="500" ht="18.75">
      <c r="D500" s="74"/>
    </row>
    <row r="501" ht="18.75">
      <c r="D501" s="74"/>
    </row>
    <row r="502" ht="18.75">
      <c r="D502" s="74"/>
    </row>
    <row r="503" ht="18.75">
      <c r="D503" s="74"/>
    </row>
    <row r="504" ht="18.75">
      <c r="D504" s="74"/>
    </row>
    <row r="505" ht="18.75">
      <c r="D505" s="74"/>
    </row>
    <row r="506" ht="18.75">
      <c r="D506" s="74"/>
    </row>
    <row r="507" ht="18.75">
      <c r="D507" s="74"/>
    </row>
    <row r="508" ht="18.75">
      <c r="D508" s="74"/>
    </row>
    <row r="509" ht="18.75">
      <c r="D509" s="74"/>
    </row>
    <row r="510" ht="18.75">
      <c r="D510" s="74"/>
    </row>
    <row r="511" ht="18.75">
      <c r="D511" s="74"/>
    </row>
    <row r="512" ht="18.75">
      <c r="D512" s="74"/>
    </row>
    <row r="513" ht="18.75">
      <c r="D513" s="74"/>
    </row>
    <row r="514" ht="18.75">
      <c r="D514" s="74"/>
    </row>
    <row r="515" ht="18.75">
      <c r="D515" s="74"/>
    </row>
    <row r="516" ht="18.75">
      <c r="D516" s="74"/>
    </row>
    <row r="517" ht="18.75">
      <c r="D517" s="74"/>
    </row>
    <row r="518" ht="18.75">
      <c r="D518" s="74"/>
    </row>
    <row r="519" ht="18.75">
      <c r="D519" s="74"/>
    </row>
    <row r="520" ht="18.75">
      <c r="D520" s="74"/>
    </row>
    <row r="521" ht="18.75">
      <c r="D521" s="74"/>
    </row>
    <row r="522" ht="18.75">
      <c r="D522" s="74"/>
    </row>
    <row r="523" ht="18.75">
      <c r="D523" s="74"/>
    </row>
    <row r="524" ht="18.75">
      <c r="D524" s="74"/>
    </row>
    <row r="525" ht="18.75">
      <c r="D525" s="74"/>
    </row>
    <row r="526" ht="18.75">
      <c r="D526" s="74"/>
    </row>
    <row r="527" ht="18.75">
      <c r="D527" s="74"/>
    </row>
    <row r="528" ht="18.75">
      <c r="D528" s="74"/>
    </row>
    <row r="529" ht="18.75">
      <c r="D529" s="74"/>
    </row>
    <row r="530" ht="18.75">
      <c r="D530" s="74"/>
    </row>
    <row r="531" ht="18.75">
      <c r="D531" s="74"/>
    </row>
    <row r="532" ht="18.75">
      <c r="D532" s="74"/>
    </row>
    <row r="533" ht="18.75">
      <c r="D533" s="74"/>
    </row>
    <row r="534" ht="18.75">
      <c r="D534" s="74"/>
    </row>
    <row r="535" ht="18.75">
      <c r="D535" s="74"/>
    </row>
    <row r="536" ht="18.75">
      <c r="D536" s="74"/>
    </row>
    <row r="537" ht="18.75">
      <c r="D537" s="74"/>
    </row>
    <row r="538" ht="18.75">
      <c r="D538" s="74"/>
    </row>
    <row r="539" ht="18.75">
      <c r="D539" s="74"/>
    </row>
    <row r="540" ht="18.75">
      <c r="D540" s="74"/>
    </row>
    <row r="541" ht="18.75">
      <c r="D541" s="74"/>
    </row>
    <row r="542" ht="18.75">
      <c r="D542" s="74"/>
    </row>
    <row r="543" ht="18.75">
      <c r="D543" s="74"/>
    </row>
    <row r="544" ht="18.75">
      <c r="D544" s="74"/>
    </row>
    <row r="545" ht="18.75">
      <c r="D545" s="74"/>
    </row>
    <row r="546" ht="18.75">
      <c r="D546" s="74"/>
    </row>
    <row r="547" ht="18.75">
      <c r="D547" s="74"/>
    </row>
    <row r="548" ht="18.75">
      <c r="D548" s="74"/>
    </row>
    <row r="549" ht="18.75">
      <c r="D549" s="74"/>
    </row>
    <row r="550" ht="18.75">
      <c r="D550" s="74"/>
    </row>
    <row r="551" ht="18.75">
      <c r="D551" s="74"/>
    </row>
    <row r="552" ht="18.75">
      <c r="D552" s="74"/>
    </row>
    <row r="553" ht="18.75">
      <c r="D553" s="74"/>
    </row>
    <row r="554" ht="18.75">
      <c r="D554" s="74"/>
    </row>
    <row r="555" ht="18.75">
      <c r="D555" s="74"/>
    </row>
    <row r="556" ht="18.75">
      <c r="D556" s="74"/>
    </row>
    <row r="557" ht="18.75">
      <c r="D557" s="74"/>
    </row>
    <row r="558" ht="18.75">
      <c r="D558" s="74"/>
    </row>
    <row r="559" ht="18.75">
      <c r="D559" s="74"/>
    </row>
    <row r="560" ht="18.75">
      <c r="D560" s="74"/>
    </row>
    <row r="561" ht="18.75">
      <c r="D561" s="74"/>
    </row>
    <row r="562" ht="18.75">
      <c r="D562" s="74"/>
    </row>
    <row r="563" ht="18.75">
      <c r="D563" s="74"/>
    </row>
    <row r="564" ht="18.75">
      <c r="D564" s="74"/>
    </row>
    <row r="565" ht="18.75">
      <c r="D565" s="74"/>
    </row>
    <row r="566" ht="18.75">
      <c r="D566" s="74"/>
    </row>
    <row r="567" ht="18.75">
      <c r="D567" s="74"/>
    </row>
    <row r="568" ht="18.75">
      <c r="D568" s="74"/>
    </row>
    <row r="569" ht="18.75">
      <c r="D569" s="74"/>
    </row>
    <row r="570" ht="18.75">
      <c r="D570" s="74"/>
    </row>
    <row r="571" ht="18.75">
      <c r="D571" s="74"/>
    </row>
    <row r="572" ht="18.75">
      <c r="D572" s="74"/>
    </row>
    <row r="573" ht="18.75">
      <c r="D573" s="74"/>
    </row>
    <row r="574" ht="18.75">
      <c r="D574" s="74"/>
    </row>
    <row r="575" ht="18.75">
      <c r="D575" s="74"/>
    </row>
    <row r="576" ht="18.75">
      <c r="D576" s="74"/>
    </row>
    <row r="577" ht="18.75">
      <c r="D577" s="74"/>
    </row>
    <row r="578" ht="18.75">
      <c r="D578" s="74"/>
    </row>
    <row r="579" ht="18.75">
      <c r="D579" s="74"/>
    </row>
    <row r="580" ht="18.75">
      <c r="D580" s="74"/>
    </row>
    <row r="581" ht="18.75">
      <c r="D581" s="74"/>
    </row>
    <row r="582" ht="18.75">
      <c r="D582" s="74"/>
    </row>
    <row r="583" ht="18.75">
      <c r="D583" s="74"/>
    </row>
    <row r="584" ht="18.75">
      <c r="D584" s="74"/>
    </row>
    <row r="585" ht="18.75">
      <c r="D585" s="74"/>
    </row>
    <row r="586" ht="18.75">
      <c r="D586" s="74"/>
    </row>
    <row r="587" ht="18.75">
      <c r="D587" s="74"/>
    </row>
    <row r="588" ht="18.75">
      <c r="D588" s="74"/>
    </row>
    <row r="589" ht="18.75">
      <c r="D589" s="74"/>
    </row>
    <row r="590" ht="18.75">
      <c r="D590" s="74"/>
    </row>
    <row r="591" ht="18.75">
      <c r="D591" s="74"/>
    </row>
    <row r="592" ht="18.75">
      <c r="D592" s="74"/>
    </row>
    <row r="593" ht="18.75">
      <c r="D593" s="74"/>
    </row>
    <row r="594" ht="18.75">
      <c r="D594" s="74"/>
    </row>
    <row r="595" ht="18.75">
      <c r="D595" s="74"/>
    </row>
    <row r="596" ht="18.75">
      <c r="D596" s="74"/>
    </row>
    <row r="597" ht="18.75">
      <c r="D597" s="74"/>
    </row>
    <row r="598" ht="18.75">
      <c r="D598" s="74"/>
    </row>
    <row r="599" ht="18.75">
      <c r="D599" s="74"/>
    </row>
    <row r="600" ht="18.75">
      <c r="D600" s="74"/>
    </row>
    <row r="601" ht="18.75">
      <c r="D601" s="74"/>
    </row>
    <row r="602" ht="18.75">
      <c r="D602" s="74"/>
    </row>
    <row r="603" ht="18.75">
      <c r="D603" s="74"/>
    </row>
    <row r="604" ht="18.75">
      <c r="D604" s="74"/>
    </row>
    <row r="605" ht="18.75">
      <c r="D605" s="74"/>
    </row>
    <row r="606" ht="18.75">
      <c r="D606" s="74"/>
    </row>
    <row r="607" ht="18.75">
      <c r="D607" s="74"/>
    </row>
    <row r="608" ht="18.75">
      <c r="D608" s="74"/>
    </row>
    <row r="609" ht="18.75">
      <c r="D609" s="74"/>
    </row>
    <row r="610" ht="18.75">
      <c r="D610" s="74"/>
    </row>
    <row r="611" ht="18.75">
      <c r="D611" s="74"/>
    </row>
    <row r="612" ht="18.75">
      <c r="D612" s="74"/>
    </row>
    <row r="613" ht="18.75">
      <c r="D613" s="74"/>
    </row>
    <row r="614" ht="18.75">
      <c r="D614" s="74"/>
    </row>
    <row r="615" ht="18.75">
      <c r="D615" s="74"/>
    </row>
    <row r="616" ht="18.75">
      <c r="D616" s="74"/>
    </row>
    <row r="617" ht="18.75">
      <c r="D617" s="74"/>
    </row>
    <row r="618" ht="18.75">
      <c r="D618" s="74"/>
    </row>
    <row r="619" ht="18.75">
      <c r="D619" s="74"/>
    </row>
    <row r="620" ht="18.75">
      <c r="D620" s="74"/>
    </row>
    <row r="621" ht="18.75">
      <c r="D621" s="74"/>
    </row>
    <row r="622" ht="18.75">
      <c r="D622" s="74"/>
    </row>
    <row r="623" ht="18.75">
      <c r="D623" s="74"/>
    </row>
    <row r="624" ht="18.75">
      <c r="D624" s="74"/>
    </row>
    <row r="625" ht="18.75">
      <c r="D625" s="74"/>
    </row>
    <row r="626" ht="18.75">
      <c r="D626" s="74"/>
    </row>
    <row r="627" ht="18.75">
      <c r="D627" s="74"/>
    </row>
    <row r="628" ht="18.75">
      <c r="D628" s="74"/>
    </row>
    <row r="629" ht="18.75">
      <c r="D629" s="74"/>
    </row>
    <row r="630" ht="18.75">
      <c r="D630" s="74"/>
    </row>
    <row r="631" ht="18.75">
      <c r="D631" s="74"/>
    </row>
    <row r="632" ht="18.75">
      <c r="D632" s="74"/>
    </row>
    <row r="633" ht="18.75">
      <c r="D633" s="74"/>
    </row>
    <row r="634" ht="18.75">
      <c r="D634" s="74"/>
    </row>
    <row r="635" ht="18.75">
      <c r="D635" s="74"/>
    </row>
    <row r="636" ht="18.75">
      <c r="D636" s="74"/>
    </row>
    <row r="637" ht="18.75">
      <c r="D637" s="74"/>
    </row>
    <row r="638" ht="18.75">
      <c r="D638" s="74"/>
    </row>
    <row r="639" ht="18.75">
      <c r="D639" s="74"/>
    </row>
    <row r="640" ht="18.75">
      <c r="D640" s="74"/>
    </row>
    <row r="641" ht="18.75">
      <c r="D641" s="74"/>
    </row>
    <row r="642" ht="18.75">
      <c r="D642" s="74"/>
    </row>
    <row r="643" ht="18.75">
      <c r="D643" s="74"/>
    </row>
    <row r="644" ht="18.75">
      <c r="D644" s="74"/>
    </row>
    <row r="645" ht="18.75">
      <c r="D645" s="74"/>
    </row>
    <row r="646" ht="18.75">
      <c r="D646" s="74"/>
    </row>
    <row r="647" ht="18.75">
      <c r="D647" s="74"/>
    </row>
    <row r="648" ht="18.75">
      <c r="D648" s="74"/>
    </row>
    <row r="649" ht="18.75">
      <c r="D649" s="74"/>
    </row>
    <row r="650" ht="18.75">
      <c r="D650" s="74"/>
    </row>
    <row r="651" ht="18.75">
      <c r="D651" s="74"/>
    </row>
    <row r="652" ht="18.75">
      <c r="D652" s="74"/>
    </row>
    <row r="653" ht="18.75">
      <c r="D653" s="74"/>
    </row>
    <row r="654" ht="18.75">
      <c r="D654" s="74"/>
    </row>
    <row r="655" ht="18.75">
      <c r="D655" s="74"/>
    </row>
    <row r="656" ht="18.75">
      <c r="D656" s="74"/>
    </row>
    <row r="657" ht="18.75">
      <c r="D657" s="74"/>
    </row>
    <row r="658" ht="18.75">
      <c r="D658" s="74"/>
    </row>
    <row r="659" ht="18.75">
      <c r="D659" s="74"/>
    </row>
    <row r="660" ht="18.75">
      <c r="D660" s="74"/>
    </row>
    <row r="661" ht="18.75">
      <c r="D661" s="74"/>
    </row>
    <row r="662" ht="18.75">
      <c r="D662" s="74"/>
    </row>
    <row r="663" ht="18.75">
      <c r="D663" s="74"/>
    </row>
    <row r="664" ht="18.75">
      <c r="D664" s="74"/>
    </row>
    <row r="665" ht="18.75">
      <c r="D665" s="74"/>
    </row>
    <row r="666" ht="18.75">
      <c r="D666" s="74"/>
    </row>
    <row r="667" ht="18.75">
      <c r="D667" s="74"/>
    </row>
    <row r="668" ht="18.75">
      <c r="D668" s="74"/>
    </row>
    <row r="669" ht="18.75">
      <c r="D669" s="74"/>
    </row>
    <row r="670" ht="18.75">
      <c r="D670" s="74"/>
    </row>
    <row r="671" ht="18.75">
      <c r="D671" s="74"/>
    </row>
    <row r="672" ht="18.75">
      <c r="D672" s="74"/>
    </row>
    <row r="673" ht="18.75">
      <c r="D673" s="74"/>
    </row>
    <row r="674" ht="18.75">
      <c r="D674" s="74"/>
    </row>
    <row r="675" ht="18.75">
      <c r="D675" s="74"/>
    </row>
    <row r="676" ht="18.75">
      <c r="D676" s="74"/>
    </row>
    <row r="677" ht="18.75">
      <c r="D677" s="74"/>
    </row>
    <row r="678" ht="18.75">
      <c r="D678" s="74"/>
    </row>
    <row r="679" ht="18.75">
      <c r="D679" s="74"/>
    </row>
    <row r="680" ht="18.75">
      <c r="D680" s="74"/>
    </row>
    <row r="681" ht="18.75">
      <c r="D681" s="74"/>
    </row>
    <row r="682" ht="18.75">
      <c r="D682" s="74"/>
    </row>
    <row r="683" ht="18.75">
      <c r="D683" s="74"/>
    </row>
    <row r="684" ht="18.75">
      <c r="D684" s="74"/>
    </row>
    <row r="685" ht="18.75">
      <c r="D685" s="74"/>
    </row>
    <row r="686" ht="18.75">
      <c r="D686" s="74"/>
    </row>
    <row r="687" ht="18.75">
      <c r="D687" s="74"/>
    </row>
    <row r="688" ht="18.75">
      <c r="D688" s="74"/>
    </row>
    <row r="689" ht="18.75">
      <c r="D689" s="74"/>
    </row>
    <row r="690" ht="18.75">
      <c r="D690" s="74"/>
    </row>
    <row r="691" ht="18.75">
      <c r="D691" s="74"/>
    </row>
    <row r="692" ht="18.75">
      <c r="D692" s="74"/>
    </row>
    <row r="693" ht="18.75">
      <c r="D693" s="74"/>
    </row>
    <row r="694" ht="18.75">
      <c r="D694" s="74"/>
    </row>
    <row r="695" ht="18.75">
      <c r="D695" s="74"/>
    </row>
    <row r="696" ht="18.75">
      <c r="D696" s="74"/>
    </row>
    <row r="697" ht="18.75">
      <c r="D697" s="74"/>
    </row>
    <row r="698" ht="18.75">
      <c r="D698" s="74"/>
    </row>
    <row r="699" ht="18.75">
      <c r="D699" s="74"/>
    </row>
    <row r="700" ht="18.75">
      <c r="D700" s="74"/>
    </row>
    <row r="701" ht="18.75">
      <c r="D701" s="74"/>
    </row>
    <row r="702" ht="18.75">
      <c r="D702" s="74"/>
    </row>
    <row r="703" ht="18.75">
      <c r="D703" s="74"/>
    </row>
    <row r="704" ht="18.75">
      <c r="D704" s="74"/>
    </row>
    <row r="705" ht="18.75">
      <c r="D705" s="74"/>
    </row>
    <row r="706" ht="18.75">
      <c r="D706" s="74"/>
    </row>
    <row r="707" ht="18.75">
      <c r="D707" s="74"/>
    </row>
    <row r="708" ht="18.75">
      <c r="D708" s="74"/>
    </row>
    <row r="709" ht="18.75">
      <c r="D709" s="74"/>
    </row>
    <row r="710" ht="18.75">
      <c r="D710" s="74"/>
    </row>
    <row r="711" ht="18.75">
      <c r="D711" s="74"/>
    </row>
    <row r="712" ht="18.75">
      <c r="D712" s="74"/>
    </row>
    <row r="713" ht="18.75">
      <c r="D713" s="74"/>
    </row>
    <row r="714" ht="18.75">
      <c r="D714" s="74"/>
    </row>
    <row r="715" ht="18.75">
      <c r="D715" s="74"/>
    </row>
    <row r="716" ht="18.75">
      <c r="D716" s="74"/>
    </row>
    <row r="717" ht="18.75">
      <c r="D717" s="74"/>
    </row>
    <row r="718" ht="18.75">
      <c r="D718" s="74"/>
    </row>
    <row r="719" ht="18.75">
      <c r="D719" s="74"/>
    </row>
    <row r="720" ht="18.75">
      <c r="D720" s="74"/>
    </row>
    <row r="721" ht="18.75">
      <c r="D721" s="74"/>
    </row>
    <row r="722" ht="18.75">
      <c r="D722" s="74"/>
    </row>
    <row r="723" ht="18.75">
      <c r="D723" s="74"/>
    </row>
    <row r="724" ht="18.75">
      <c r="D724" s="74"/>
    </row>
    <row r="725" ht="18.75">
      <c r="D725" s="74"/>
    </row>
    <row r="726" ht="18.75">
      <c r="D726" s="74"/>
    </row>
    <row r="727" ht="18.75">
      <c r="D727" s="74"/>
    </row>
    <row r="728" ht="18.75">
      <c r="D728" s="74"/>
    </row>
    <row r="729" ht="18.75">
      <c r="D729" s="74"/>
    </row>
    <row r="730" ht="18.75">
      <c r="D730" s="74"/>
    </row>
    <row r="731" ht="18.75">
      <c r="D731" s="74"/>
    </row>
    <row r="732" ht="18.75">
      <c r="D732" s="74"/>
    </row>
    <row r="733" ht="18.75">
      <c r="D733" s="74"/>
    </row>
    <row r="734" ht="18.75">
      <c r="D734" s="74"/>
    </row>
    <row r="735" ht="18.75">
      <c r="D735" s="74"/>
    </row>
    <row r="736" ht="18.75">
      <c r="D736" s="74"/>
    </row>
    <row r="737" ht="18.75">
      <c r="D737" s="74"/>
    </row>
    <row r="738" ht="18.75">
      <c r="D738" s="74"/>
    </row>
    <row r="739" ht="18.75">
      <c r="D739" s="74"/>
    </row>
    <row r="740" ht="18.75">
      <c r="D740" s="74"/>
    </row>
    <row r="741" ht="18.75">
      <c r="D741" s="74"/>
    </row>
    <row r="742" ht="18.75">
      <c r="D742" s="74"/>
    </row>
    <row r="743" ht="18.75">
      <c r="D743" s="74"/>
    </row>
    <row r="744" ht="18.75">
      <c r="D744" s="74"/>
    </row>
    <row r="745" ht="18.75">
      <c r="D745" s="74"/>
    </row>
    <row r="746" ht="18.75">
      <c r="D746" s="74"/>
    </row>
    <row r="747" ht="18.75">
      <c r="D747" s="74"/>
    </row>
    <row r="748" ht="18.75">
      <c r="D748" s="74"/>
    </row>
    <row r="749" ht="18.75">
      <c r="D749" s="74"/>
    </row>
    <row r="750" ht="18.75">
      <c r="D750" s="74"/>
    </row>
    <row r="751" ht="18.75">
      <c r="D751" s="74"/>
    </row>
    <row r="752" ht="18.75">
      <c r="D752" s="74"/>
    </row>
    <row r="753" ht="18.75">
      <c r="D753" s="74"/>
    </row>
    <row r="754" ht="18.75">
      <c r="D754" s="74"/>
    </row>
    <row r="755" ht="18.75">
      <c r="D755" s="74"/>
    </row>
    <row r="756" ht="18.75">
      <c r="D756" s="74"/>
    </row>
    <row r="757" ht="18.75">
      <c r="D757" s="74"/>
    </row>
    <row r="758" ht="18.75">
      <c r="D758" s="74"/>
    </row>
    <row r="759" ht="18.75">
      <c r="D759" s="74"/>
    </row>
    <row r="760" ht="18.75">
      <c r="D760" s="74"/>
    </row>
    <row r="761" ht="18.75">
      <c r="D761" s="74"/>
    </row>
    <row r="762" ht="18.75">
      <c r="D762" s="74"/>
    </row>
    <row r="763" ht="18.75">
      <c r="D763" s="74"/>
    </row>
    <row r="764" ht="18.75">
      <c r="D764" s="74"/>
    </row>
    <row r="765" ht="18.75">
      <c r="D765" s="74"/>
    </row>
    <row r="766" ht="18.75">
      <c r="D766" s="74"/>
    </row>
    <row r="767" ht="18.75">
      <c r="D767" s="74"/>
    </row>
    <row r="768" ht="18.75">
      <c r="D768" s="74"/>
    </row>
    <row r="769" ht="18.75">
      <c r="D769" s="74"/>
    </row>
    <row r="770" ht="18.75">
      <c r="D770" s="74"/>
    </row>
    <row r="771" ht="18.75">
      <c r="D771" s="74"/>
    </row>
    <row r="772" ht="18.75">
      <c r="D772" s="74"/>
    </row>
    <row r="773" ht="18.75">
      <c r="D773" s="74"/>
    </row>
    <row r="774" ht="18.75">
      <c r="D774" s="74"/>
    </row>
    <row r="775" ht="18.75">
      <c r="D775" s="74"/>
    </row>
    <row r="776" ht="18.75">
      <c r="D776" s="74"/>
    </row>
    <row r="777" ht="18.75">
      <c r="D777" s="74"/>
    </row>
    <row r="778" ht="18.75">
      <c r="D778" s="74"/>
    </row>
    <row r="779" ht="18.75">
      <c r="D779" s="74"/>
    </row>
    <row r="780" ht="18.75">
      <c r="D780" s="74"/>
    </row>
    <row r="781" ht="18.75">
      <c r="D781" s="74"/>
    </row>
    <row r="782" ht="18.75">
      <c r="D782" s="74"/>
    </row>
    <row r="783" ht="18.75">
      <c r="D783" s="74"/>
    </row>
    <row r="784" ht="18.75">
      <c r="D784" s="74"/>
    </row>
    <row r="785" ht="18.75">
      <c r="D785" s="74"/>
    </row>
    <row r="786" ht="18.75">
      <c r="D786" s="74"/>
    </row>
    <row r="787" ht="18.75">
      <c r="D787" s="74"/>
    </row>
    <row r="788" ht="18.75">
      <c r="D788" s="74"/>
    </row>
    <row r="789" ht="18.75">
      <c r="D789" s="74"/>
    </row>
    <row r="790" ht="18.75">
      <c r="D790" s="74"/>
    </row>
    <row r="791" ht="18.75">
      <c r="D791" s="74"/>
    </row>
    <row r="792" ht="18.75">
      <c r="D792" s="74"/>
    </row>
    <row r="793" ht="18.75">
      <c r="D793" s="74"/>
    </row>
    <row r="794" ht="18.75">
      <c r="D794" s="74"/>
    </row>
    <row r="795" ht="18.75">
      <c r="D795" s="74"/>
    </row>
    <row r="796" ht="18.75">
      <c r="D796" s="74"/>
    </row>
    <row r="797" ht="18.75">
      <c r="D797" s="74"/>
    </row>
    <row r="798" ht="18.75">
      <c r="D798" s="74"/>
    </row>
    <row r="799" ht="18.75">
      <c r="D799" s="74"/>
    </row>
    <row r="800" ht="18.75">
      <c r="D800" s="74"/>
    </row>
    <row r="801" ht="18.75">
      <c r="D801" s="74"/>
    </row>
    <row r="802" ht="18.75">
      <c r="D802" s="74"/>
    </row>
    <row r="803" ht="18.75">
      <c r="D803" s="74"/>
    </row>
    <row r="804" ht="18.75">
      <c r="D804" s="74"/>
    </row>
    <row r="805" ht="18.75">
      <c r="D805" s="74"/>
    </row>
    <row r="806" ht="18.75">
      <c r="D806" s="74"/>
    </row>
    <row r="807" ht="18.75">
      <c r="D807" s="74"/>
    </row>
    <row r="808" ht="18.75">
      <c r="D808" s="74"/>
    </row>
    <row r="809" ht="18.75">
      <c r="D809" s="74"/>
    </row>
    <row r="810" ht="18.75">
      <c r="D810" s="74"/>
    </row>
    <row r="811" ht="18.75">
      <c r="D811" s="74"/>
    </row>
    <row r="812" ht="18.75">
      <c r="D812" s="74"/>
    </row>
    <row r="813" ht="18.75">
      <c r="D813" s="74"/>
    </row>
    <row r="814" ht="18.75">
      <c r="D814" s="74"/>
    </row>
    <row r="815" ht="18.75">
      <c r="D815" s="74"/>
    </row>
    <row r="816" ht="18.75">
      <c r="D816" s="74"/>
    </row>
    <row r="817" ht="18.75">
      <c r="D817" s="74"/>
    </row>
    <row r="818" ht="18.75">
      <c r="D818" s="74"/>
    </row>
    <row r="819" ht="18.75">
      <c r="D819" s="74"/>
    </row>
    <row r="820" ht="18.75">
      <c r="D820" s="74"/>
    </row>
    <row r="821" ht="18.75">
      <c r="D821" s="74"/>
    </row>
    <row r="822" ht="18.75">
      <c r="D822" s="74"/>
    </row>
    <row r="823" ht="18.75">
      <c r="D823" s="74"/>
    </row>
    <row r="824" ht="18.75">
      <c r="D824" s="74"/>
    </row>
    <row r="825" ht="18.75">
      <c r="D825" s="74"/>
    </row>
    <row r="826" ht="18.75">
      <c r="D826" s="74"/>
    </row>
    <row r="827" ht="18.75">
      <c r="D827" s="74"/>
    </row>
    <row r="828" ht="18.75">
      <c r="D828" s="74"/>
    </row>
    <row r="829" ht="18.75">
      <c r="D829" s="74"/>
    </row>
    <row r="830" ht="18.75">
      <c r="D830" s="74"/>
    </row>
    <row r="831" ht="18.75">
      <c r="D831" s="74"/>
    </row>
    <row r="832" ht="18.75">
      <c r="D832" s="74"/>
    </row>
    <row r="833" ht="18.75">
      <c r="D833" s="74"/>
    </row>
    <row r="834" ht="18.75">
      <c r="D834" s="74"/>
    </row>
    <row r="835" ht="18.75">
      <c r="D835" s="74"/>
    </row>
    <row r="836" ht="18.75">
      <c r="D836" s="74"/>
    </row>
    <row r="837" ht="18.75">
      <c r="D837" s="74"/>
    </row>
    <row r="838" ht="18.75">
      <c r="D838" s="74"/>
    </row>
    <row r="839" ht="18.75">
      <c r="D839" s="74"/>
    </row>
    <row r="840" ht="18.75">
      <c r="D840" s="74"/>
    </row>
    <row r="841" ht="18.75">
      <c r="D841" s="74"/>
    </row>
    <row r="842" ht="18.75">
      <c r="D842" s="74"/>
    </row>
    <row r="843" ht="18.75">
      <c r="D843" s="74"/>
    </row>
    <row r="844" ht="18.75">
      <c r="D844" s="74"/>
    </row>
    <row r="845" ht="18.75">
      <c r="D845" s="74"/>
    </row>
    <row r="846" ht="18.75">
      <c r="D846" s="74"/>
    </row>
    <row r="847" ht="18.75">
      <c r="D847" s="74"/>
    </row>
    <row r="848" ht="18.75">
      <c r="D848" s="74"/>
    </row>
    <row r="849" ht="18.75">
      <c r="D849" s="74"/>
    </row>
    <row r="850" ht="18.75">
      <c r="D850" s="74"/>
    </row>
    <row r="851" ht="18.75">
      <c r="D851" s="74"/>
    </row>
    <row r="852" ht="18.75">
      <c r="D852" s="74"/>
    </row>
    <row r="853" ht="18.75">
      <c r="D853" s="74"/>
    </row>
    <row r="854" ht="18.75">
      <c r="D854" s="74"/>
    </row>
    <row r="855" ht="18.75">
      <c r="D855" s="74"/>
    </row>
    <row r="856" ht="18.75">
      <c r="D856" s="74"/>
    </row>
    <row r="857" ht="18.75">
      <c r="D857" s="74"/>
    </row>
    <row r="858" ht="18.75">
      <c r="D858" s="74"/>
    </row>
    <row r="859" ht="18.75">
      <c r="D859" s="74"/>
    </row>
    <row r="860" ht="18.75">
      <c r="D860" s="74"/>
    </row>
    <row r="861" ht="18.75">
      <c r="D861" s="74"/>
    </row>
    <row r="862" ht="18.75">
      <c r="D862" s="74"/>
    </row>
    <row r="863" ht="18.75">
      <c r="D863" s="74"/>
    </row>
    <row r="864" ht="18.75">
      <c r="D864" s="74"/>
    </row>
    <row r="865" ht="18.75">
      <c r="D865" s="74"/>
    </row>
    <row r="866" ht="18.75">
      <c r="D866" s="74"/>
    </row>
    <row r="867" ht="18.75">
      <c r="D867" s="74"/>
    </row>
    <row r="868" ht="18.75">
      <c r="D868" s="74"/>
    </row>
    <row r="869" ht="18.75">
      <c r="D869" s="74"/>
    </row>
    <row r="870" ht="18.75">
      <c r="D870" s="74"/>
    </row>
    <row r="871" ht="18.75">
      <c r="D871" s="74"/>
    </row>
    <row r="872" ht="18.75">
      <c r="D872" s="74"/>
    </row>
    <row r="873" ht="18.75">
      <c r="D873" s="74"/>
    </row>
    <row r="874" ht="18.75">
      <c r="D874" s="74"/>
    </row>
    <row r="875" ht="18.75">
      <c r="D875" s="74"/>
    </row>
    <row r="876" ht="18.75">
      <c r="D876" s="74"/>
    </row>
    <row r="877" ht="18.75">
      <c r="D877" s="74"/>
    </row>
    <row r="878" ht="18.75">
      <c r="D878" s="74"/>
    </row>
    <row r="879" ht="18.75">
      <c r="D879" s="74"/>
    </row>
    <row r="880" ht="18.75">
      <c r="D880" s="74"/>
    </row>
    <row r="881" ht="18.75">
      <c r="D881" s="74"/>
    </row>
    <row r="882" ht="18.75">
      <c r="D882" s="74"/>
    </row>
    <row r="883" ht="18.75">
      <c r="D883" s="74"/>
    </row>
    <row r="884" ht="18.75">
      <c r="D884" s="74"/>
    </row>
    <row r="885" ht="18.75">
      <c r="D885" s="74"/>
    </row>
    <row r="886" ht="18.75">
      <c r="D886" s="74"/>
    </row>
    <row r="887" ht="18.75">
      <c r="D887" s="74"/>
    </row>
    <row r="888" ht="18.75">
      <c r="D888" s="74"/>
    </row>
    <row r="889" ht="18.75">
      <c r="D889" s="74"/>
    </row>
    <row r="890" ht="18.75">
      <c r="D890" s="74"/>
    </row>
    <row r="891" ht="18.75">
      <c r="D891" s="74"/>
    </row>
    <row r="892" ht="18.75">
      <c r="D892" s="74"/>
    </row>
    <row r="893" ht="18.75">
      <c r="D893" s="74"/>
    </row>
    <row r="894" ht="18.75">
      <c r="D894" s="74"/>
    </row>
    <row r="895" ht="18.75">
      <c r="D895" s="74"/>
    </row>
    <row r="896" ht="18.75">
      <c r="D896" s="74"/>
    </row>
    <row r="897" ht="18.75">
      <c r="D897" s="74"/>
    </row>
    <row r="898" ht="18.75">
      <c r="D898" s="74"/>
    </row>
    <row r="899" ht="18.75">
      <c r="D899" s="74"/>
    </row>
    <row r="900" ht="18.75">
      <c r="D900" s="74"/>
    </row>
    <row r="901" ht="18.75">
      <c r="D901" s="74"/>
    </row>
    <row r="902" ht="18.75">
      <c r="D902" s="74"/>
    </row>
    <row r="903" ht="18.75">
      <c r="D903" s="74"/>
    </row>
    <row r="904" ht="18.75">
      <c r="D904" s="74"/>
    </row>
    <row r="905" ht="18.75">
      <c r="D905" s="74"/>
    </row>
    <row r="906" ht="18.75">
      <c r="D906" s="74"/>
    </row>
    <row r="907" ht="18.75">
      <c r="D907" s="74"/>
    </row>
    <row r="908" ht="18.75">
      <c r="D908" s="74"/>
    </row>
    <row r="909" ht="18.75">
      <c r="D909" s="74"/>
    </row>
    <row r="910" ht="18.75">
      <c r="D910" s="74"/>
    </row>
    <row r="911" ht="18.75">
      <c r="D911" s="74"/>
    </row>
    <row r="912" ht="18.75">
      <c r="D912" s="74"/>
    </row>
    <row r="913" ht="18.75">
      <c r="D913" s="74"/>
    </row>
    <row r="914" ht="18.75">
      <c r="D914" s="74"/>
    </row>
    <row r="915" ht="18.75">
      <c r="D915" s="74"/>
    </row>
    <row r="916" ht="18.75">
      <c r="D916" s="74"/>
    </row>
    <row r="917" ht="18.75">
      <c r="D917" s="74"/>
    </row>
    <row r="918" ht="18.75">
      <c r="D918" s="74"/>
    </row>
    <row r="919" ht="18.75">
      <c r="D919" s="74"/>
    </row>
    <row r="920" ht="18.75">
      <c r="D920" s="74"/>
    </row>
    <row r="921" ht="18.75">
      <c r="D921" s="74"/>
    </row>
    <row r="922" ht="18.75">
      <c r="D922" s="74"/>
    </row>
    <row r="923" ht="18.75">
      <c r="D923" s="74"/>
    </row>
    <row r="924" ht="18.75">
      <c r="D924" s="74"/>
    </row>
    <row r="925" ht="18.75">
      <c r="D925" s="74"/>
    </row>
    <row r="926" ht="18.75">
      <c r="D926" s="74"/>
    </row>
    <row r="927" ht="18.75">
      <c r="D927" s="74"/>
    </row>
    <row r="928" ht="18.75">
      <c r="D928" s="74"/>
    </row>
    <row r="929" ht="18.75">
      <c r="D929" s="74"/>
    </row>
    <row r="930" ht="18.75">
      <c r="D930" s="74"/>
    </row>
    <row r="931" ht="18.75">
      <c r="D931" s="74"/>
    </row>
    <row r="932" ht="18.75">
      <c r="D932" s="74"/>
    </row>
    <row r="933" ht="18.75">
      <c r="D933" s="74"/>
    </row>
    <row r="934" ht="18.75">
      <c r="D934" s="74"/>
    </row>
    <row r="935" ht="18.75">
      <c r="D935" s="74"/>
    </row>
    <row r="936" ht="18.75">
      <c r="D936" s="74"/>
    </row>
    <row r="937" ht="18.75">
      <c r="D937" s="74"/>
    </row>
    <row r="938" ht="18.75">
      <c r="D938" s="74"/>
    </row>
    <row r="939" ht="18.75">
      <c r="D939" s="74"/>
    </row>
    <row r="940" ht="18.75">
      <c r="D940" s="74"/>
    </row>
    <row r="941" ht="18.75">
      <c r="D941" s="74"/>
    </row>
    <row r="942" ht="18.75">
      <c r="D942" s="74"/>
    </row>
    <row r="943" ht="18.75">
      <c r="D943" s="74"/>
    </row>
    <row r="944" ht="18.75">
      <c r="D944" s="74"/>
    </row>
    <row r="945" ht="18.75">
      <c r="D945" s="74"/>
    </row>
    <row r="946" ht="18.75">
      <c r="D946" s="74"/>
    </row>
    <row r="947" ht="18.75">
      <c r="D947" s="74"/>
    </row>
    <row r="948" ht="18.75">
      <c r="D948" s="74"/>
    </row>
    <row r="949" ht="18.75">
      <c r="D949" s="74"/>
    </row>
    <row r="950" ht="18.75">
      <c r="D950" s="74"/>
    </row>
    <row r="951" ht="18.75">
      <c r="D951" s="74"/>
    </row>
    <row r="952" ht="18.75">
      <c r="D952" s="74"/>
    </row>
    <row r="953" ht="18.75">
      <c r="D953" s="74"/>
    </row>
    <row r="954" ht="18.75">
      <c r="D954" s="74"/>
    </row>
    <row r="955" ht="18.75">
      <c r="D955" s="74"/>
    </row>
    <row r="956" ht="18.75">
      <c r="D956" s="74"/>
    </row>
    <row r="957" ht="18.75">
      <c r="D957" s="74"/>
    </row>
    <row r="958" ht="18.75">
      <c r="D958" s="74"/>
    </row>
    <row r="959" ht="18.75">
      <c r="D959" s="74"/>
    </row>
    <row r="960" ht="18.75">
      <c r="D960" s="74"/>
    </row>
    <row r="961" ht="18.75">
      <c r="D961" s="74"/>
    </row>
    <row r="962" ht="18.75">
      <c r="D962" s="74"/>
    </row>
    <row r="963" ht="18.75">
      <c r="D963" s="74"/>
    </row>
    <row r="964" ht="18.75">
      <c r="D964" s="74"/>
    </row>
    <row r="965" ht="18.75">
      <c r="D965" s="74"/>
    </row>
    <row r="966" ht="18.75">
      <c r="D966" s="74"/>
    </row>
    <row r="967" ht="18.75">
      <c r="D967" s="74"/>
    </row>
    <row r="968" ht="18.75">
      <c r="D968" s="74"/>
    </row>
    <row r="969" ht="18.75">
      <c r="D969" s="74"/>
    </row>
    <row r="970" ht="18.75">
      <c r="D970" s="74"/>
    </row>
    <row r="971" ht="18.75">
      <c r="D971" s="74"/>
    </row>
    <row r="972" ht="18.75">
      <c r="D972" s="74"/>
    </row>
    <row r="973" ht="18.75">
      <c r="D973" s="74"/>
    </row>
    <row r="974" ht="18.75">
      <c r="D974" s="74"/>
    </row>
    <row r="975" ht="18.75">
      <c r="D975" s="74"/>
    </row>
    <row r="976" ht="18.75">
      <c r="D976" s="74"/>
    </row>
    <row r="977" ht="18.75">
      <c r="D977" s="74"/>
    </row>
    <row r="978" ht="18.75">
      <c r="D978" s="74"/>
    </row>
    <row r="979" ht="18.75">
      <c r="D979" s="74"/>
    </row>
    <row r="980" ht="18.75">
      <c r="D980" s="74"/>
    </row>
    <row r="981" ht="18.75">
      <c r="D981" s="74"/>
    </row>
    <row r="982" ht="18.75">
      <c r="D982" s="74"/>
    </row>
    <row r="983" ht="18.75">
      <c r="D983" s="74"/>
    </row>
    <row r="984" ht="18.75">
      <c r="D984" s="74"/>
    </row>
    <row r="985" ht="18.75">
      <c r="D985" s="74"/>
    </row>
    <row r="986" ht="18.75">
      <c r="D986" s="74"/>
    </row>
    <row r="987" ht="18.75">
      <c r="D987" s="74"/>
    </row>
    <row r="988" ht="18.75">
      <c r="D988" s="74"/>
    </row>
    <row r="989" ht="18.75">
      <c r="D989" s="74"/>
    </row>
    <row r="990" ht="18.75">
      <c r="D990" s="74"/>
    </row>
    <row r="991" ht="18.75">
      <c r="D991" s="74"/>
    </row>
    <row r="992" ht="18.75">
      <c r="D992" s="74"/>
    </row>
    <row r="993" ht="18.75">
      <c r="D993" s="74"/>
    </row>
    <row r="994" ht="18.75">
      <c r="D994" s="74"/>
    </row>
    <row r="995" ht="18.75">
      <c r="D995" s="74"/>
    </row>
    <row r="996" ht="18.75">
      <c r="D996" s="74"/>
    </row>
    <row r="997" ht="18.75">
      <c r="D997" s="74"/>
    </row>
    <row r="998" ht="18.75">
      <c r="D998" s="74"/>
    </row>
    <row r="999" ht="18.75">
      <c r="D999" s="74"/>
    </row>
    <row r="1000" ht="18.75">
      <c r="D1000" s="74"/>
    </row>
    <row r="1001" ht="18.75">
      <c r="D1001" s="74"/>
    </row>
    <row r="1002" ht="18.75">
      <c r="D1002" s="74"/>
    </row>
    <row r="1003" ht="18.75">
      <c r="D1003" s="74"/>
    </row>
    <row r="1004" ht="18.75">
      <c r="D1004" s="74"/>
    </row>
    <row r="1005" ht="18.75">
      <c r="D1005" s="74"/>
    </row>
    <row r="1006" ht="18.75">
      <c r="D1006" s="74"/>
    </row>
    <row r="1007" ht="18.75">
      <c r="D1007" s="74"/>
    </row>
    <row r="1008" ht="18.75">
      <c r="D1008" s="74"/>
    </row>
    <row r="1009" ht="18.75">
      <c r="D1009" s="74"/>
    </row>
    <row r="1010" ht="18.75">
      <c r="D1010" s="74"/>
    </row>
    <row r="1011" ht="18.75">
      <c r="D1011" s="74"/>
    </row>
    <row r="1012" ht="18.75">
      <c r="D1012" s="74"/>
    </row>
    <row r="1013" ht="18.75">
      <c r="D1013" s="74"/>
    </row>
    <row r="1014" ht="18.75">
      <c r="D1014" s="74"/>
    </row>
    <row r="1015" ht="18.75">
      <c r="D1015" s="74"/>
    </row>
    <row r="1016" ht="18.75">
      <c r="D1016" s="74"/>
    </row>
    <row r="1017" ht="18.75">
      <c r="D1017" s="74"/>
    </row>
    <row r="1018" ht="18.75">
      <c r="D1018" s="74"/>
    </row>
    <row r="1019" ht="18.75">
      <c r="D1019" s="74"/>
    </row>
    <row r="1020" ht="18.75">
      <c r="D1020" s="74"/>
    </row>
    <row r="1021" ht="18.75">
      <c r="D1021" s="74"/>
    </row>
    <row r="1022" ht="18.75">
      <c r="D1022" s="74"/>
    </row>
    <row r="1023" ht="18.75">
      <c r="D1023" s="74"/>
    </row>
    <row r="1024" ht="18.75">
      <c r="D1024" s="74"/>
    </row>
    <row r="1025" ht="18.75">
      <c r="D1025" s="74"/>
    </row>
    <row r="1026" ht="18.75">
      <c r="D1026" s="74"/>
    </row>
    <row r="1027" ht="18.75">
      <c r="D1027" s="74"/>
    </row>
    <row r="1028" ht="18.75">
      <c r="D1028" s="74"/>
    </row>
    <row r="1029" ht="18.75">
      <c r="D1029" s="74"/>
    </row>
    <row r="1030" ht="18.75">
      <c r="D1030" s="74"/>
    </row>
    <row r="1031" ht="18.75">
      <c r="D1031" s="74"/>
    </row>
    <row r="1032" ht="18.75">
      <c r="D1032" s="74"/>
    </row>
    <row r="1033" ht="18.75">
      <c r="D1033" s="74"/>
    </row>
    <row r="1034" ht="18.75">
      <c r="D1034" s="74"/>
    </row>
    <row r="1035" ht="18.75">
      <c r="D1035" s="74"/>
    </row>
    <row r="1036" ht="18.75">
      <c r="D1036" s="74"/>
    </row>
    <row r="1037" ht="18.75">
      <c r="D1037" s="74"/>
    </row>
    <row r="1038" ht="18.75">
      <c r="D1038" s="74"/>
    </row>
    <row r="1039" ht="18.75">
      <c r="D1039" s="74"/>
    </row>
    <row r="1040" ht="18.75">
      <c r="D1040" s="74"/>
    </row>
    <row r="1041" ht="18.75">
      <c r="D1041" s="74"/>
    </row>
    <row r="1042" ht="18.75">
      <c r="D1042" s="74"/>
    </row>
    <row r="1043" ht="18.75">
      <c r="D1043" s="74"/>
    </row>
    <row r="1044" ht="18.75">
      <c r="D1044" s="74"/>
    </row>
    <row r="1045" ht="18.75">
      <c r="D1045" s="74"/>
    </row>
    <row r="1046" ht="18.75">
      <c r="D1046" s="74"/>
    </row>
    <row r="1047" ht="18.75">
      <c r="D1047" s="74"/>
    </row>
    <row r="1048" ht="18.75">
      <c r="D1048" s="74"/>
    </row>
    <row r="1049" ht="18.75">
      <c r="D1049" s="74"/>
    </row>
    <row r="1050" ht="18.75">
      <c r="D1050" s="74"/>
    </row>
    <row r="1051" ht="18.75">
      <c r="D1051" s="74"/>
    </row>
    <row r="1052" ht="18.75">
      <c r="D1052" s="74"/>
    </row>
    <row r="1053" ht="18.75">
      <c r="D1053" s="74"/>
    </row>
    <row r="1054" ht="18.75">
      <c r="D1054" s="74"/>
    </row>
    <row r="1055" ht="18.75">
      <c r="D1055" s="74"/>
    </row>
    <row r="1056" ht="18.75">
      <c r="D1056" s="74"/>
    </row>
    <row r="1057" ht="18.75">
      <c r="D1057" s="74"/>
    </row>
    <row r="1058" ht="18.75">
      <c r="D1058" s="74"/>
    </row>
    <row r="1059" ht="18.75">
      <c r="D1059" s="74"/>
    </row>
    <row r="1060" ht="18.75">
      <c r="D1060" s="74"/>
    </row>
    <row r="1061" ht="18.75">
      <c r="D1061" s="74"/>
    </row>
    <row r="1062" ht="18.75">
      <c r="D1062" s="74"/>
    </row>
    <row r="1063" ht="18.75">
      <c r="D1063" s="74"/>
    </row>
    <row r="1064" ht="18.75">
      <c r="D1064" s="74"/>
    </row>
    <row r="1065" ht="18.75">
      <c r="D1065" s="74"/>
    </row>
    <row r="1066" ht="18.75">
      <c r="D1066" s="74"/>
    </row>
    <row r="1067" ht="18.75">
      <c r="D1067" s="74"/>
    </row>
    <row r="1068" ht="18.75">
      <c r="D1068" s="74"/>
    </row>
    <row r="1069" ht="18.75">
      <c r="D1069" s="74"/>
    </row>
    <row r="1070" ht="18.75">
      <c r="D1070" s="74"/>
    </row>
    <row r="1071" ht="18.75">
      <c r="D1071" s="74"/>
    </row>
    <row r="1072" ht="18.75">
      <c r="D1072" s="74"/>
    </row>
    <row r="1073" ht="18.75">
      <c r="D1073" s="74"/>
    </row>
    <row r="1074" ht="18.75">
      <c r="D1074" s="74"/>
    </row>
    <row r="1075" ht="18.75">
      <c r="D1075" s="74"/>
    </row>
    <row r="1076" ht="18.75">
      <c r="D1076" s="74"/>
    </row>
    <row r="1077" ht="18.75">
      <c r="D1077" s="74"/>
    </row>
    <row r="1078" ht="18.75">
      <c r="D1078" s="74"/>
    </row>
    <row r="1079" ht="18.75">
      <c r="D1079" s="74"/>
    </row>
    <row r="1080" ht="18.75">
      <c r="D1080" s="74"/>
    </row>
    <row r="1081" ht="18.75">
      <c r="D1081" s="74"/>
    </row>
    <row r="1082" ht="18.75">
      <c r="D1082" s="74"/>
    </row>
    <row r="1083" ht="18.75">
      <c r="D1083" s="74"/>
    </row>
    <row r="1084" ht="18.75">
      <c r="D1084" s="74"/>
    </row>
    <row r="1085" ht="18.75">
      <c r="D1085" s="74"/>
    </row>
    <row r="1086" ht="18.75">
      <c r="D1086" s="74"/>
    </row>
    <row r="1087" ht="18.75">
      <c r="D1087" s="74"/>
    </row>
    <row r="1088" ht="18.75">
      <c r="D1088" s="74"/>
    </row>
    <row r="1089" ht="18.75">
      <c r="D1089" s="74"/>
    </row>
    <row r="1090" ht="18.75">
      <c r="D1090" s="74"/>
    </row>
    <row r="1091" ht="18.75">
      <c r="D1091" s="74"/>
    </row>
    <row r="1092" ht="18.75">
      <c r="D1092" s="74"/>
    </row>
    <row r="1093" ht="18.75">
      <c r="D1093" s="74"/>
    </row>
    <row r="1094" ht="18.75">
      <c r="D1094" s="74"/>
    </row>
    <row r="1095" ht="18.75">
      <c r="D1095" s="74"/>
    </row>
    <row r="1096" ht="18.75">
      <c r="D1096" s="74"/>
    </row>
    <row r="1097" ht="18.75">
      <c r="D1097" s="74"/>
    </row>
    <row r="1098" ht="18.75">
      <c r="D1098" s="74"/>
    </row>
    <row r="1099" ht="18.75">
      <c r="D1099" s="74"/>
    </row>
    <row r="1100" ht="18.75">
      <c r="D1100" s="74"/>
    </row>
    <row r="1101" ht="18.75">
      <c r="D1101" s="74"/>
    </row>
    <row r="1102" ht="18.75">
      <c r="D1102" s="74"/>
    </row>
    <row r="1103" ht="18.75">
      <c r="D1103" s="74"/>
    </row>
    <row r="1104" ht="18.75">
      <c r="D1104" s="74"/>
    </row>
    <row r="1105" ht="18.75">
      <c r="D1105" s="74"/>
    </row>
    <row r="1106" ht="18.75">
      <c r="D1106" s="74"/>
    </row>
    <row r="1107" ht="18.75">
      <c r="D1107" s="74"/>
    </row>
    <row r="1108" ht="18.75">
      <c r="D1108" s="74"/>
    </row>
    <row r="1109" ht="18.75">
      <c r="D1109" s="74"/>
    </row>
    <row r="1110" ht="18.75">
      <c r="D1110" s="74"/>
    </row>
    <row r="1111" ht="18.75">
      <c r="D1111" s="74"/>
    </row>
    <row r="1112" ht="18.75">
      <c r="D1112" s="74"/>
    </row>
    <row r="1113" ht="18.75">
      <c r="D1113" s="74"/>
    </row>
    <row r="1114" ht="18.75">
      <c r="D1114" s="74"/>
    </row>
    <row r="1115" ht="18.75">
      <c r="D1115" s="74"/>
    </row>
    <row r="1116" ht="18.75">
      <c r="D1116" s="74"/>
    </row>
    <row r="1117" ht="18.75">
      <c r="D1117" s="74"/>
    </row>
    <row r="1118" ht="18.75">
      <c r="D1118" s="74"/>
    </row>
    <row r="1119" ht="18.75">
      <c r="D1119" s="74"/>
    </row>
    <row r="1120" ht="18.75">
      <c r="D1120" s="74"/>
    </row>
    <row r="1121" ht="18.75">
      <c r="D1121" s="74"/>
    </row>
    <row r="1122" ht="18.75">
      <c r="D1122" s="74"/>
    </row>
    <row r="1123" ht="18.75">
      <c r="D1123" s="74"/>
    </row>
    <row r="1124" ht="18.75">
      <c r="D1124" s="74"/>
    </row>
    <row r="1125" ht="18.75">
      <c r="D1125" s="74"/>
    </row>
    <row r="1126" ht="18.75">
      <c r="D1126" s="74"/>
    </row>
    <row r="1127" ht="18.75">
      <c r="D1127" s="74"/>
    </row>
    <row r="1128" ht="18.75">
      <c r="D1128" s="74"/>
    </row>
    <row r="1129" ht="18.75">
      <c r="D1129" s="74"/>
    </row>
    <row r="1130" ht="18.75">
      <c r="D1130" s="74"/>
    </row>
    <row r="1131" ht="18.75">
      <c r="D1131" s="74"/>
    </row>
    <row r="1132" ht="18.75">
      <c r="D1132" s="74"/>
    </row>
    <row r="1133" ht="18.75">
      <c r="D1133" s="74"/>
    </row>
    <row r="1134" ht="18.75">
      <c r="D1134" s="74"/>
    </row>
    <row r="1135" ht="18.75">
      <c r="D1135" s="74"/>
    </row>
    <row r="1136" ht="18.75">
      <c r="D1136" s="74"/>
    </row>
    <row r="1137" ht="18.75">
      <c r="D1137" s="74"/>
    </row>
    <row r="1138" ht="18.75">
      <c r="D1138" s="74"/>
    </row>
    <row r="1139" ht="18.75">
      <c r="D1139" s="74"/>
    </row>
    <row r="1140" ht="18.75">
      <c r="D1140" s="74"/>
    </row>
    <row r="1141" ht="18.75">
      <c r="D1141" s="74"/>
    </row>
    <row r="1142" ht="18.75">
      <c r="D1142" s="74"/>
    </row>
    <row r="1143" ht="18.75">
      <c r="D1143" s="74"/>
    </row>
    <row r="1144" ht="18.75">
      <c r="D1144" s="74"/>
    </row>
    <row r="1145" ht="18.75">
      <c r="D1145" s="74"/>
    </row>
    <row r="1146" ht="18.75">
      <c r="D1146" s="74"/>
    </row>
    <row r="1147" ht="18.75">
      <c r="D1147" s="74"/>
    </row>
    <row r="1148" ht="18.75">
      <c r="D1148" s="74"/>
    </row>
    <row r="1149" ht="18.75">
      <c r="D1149" s="74"/>
    </row>
    <row r="1150" ht="18.75">
      <c r="D1150" s="74"/>
    </row>
    <row r="1151" ht="18.75">
      <c r="D1151" s="74"/>
    </row>
    <row r="1152" ht="18.75">
      <c r="D1152" s="74"/>
    </row>
    <row r="1153" ht="18.75">
      <c r="D1153" s="74"/>
    </row>
    <row r="1154" ht="18.75">
      <c r="D1154" s="74"/>
    </row>
    <row r="1155" ht="18.75">
      <c r="D1155" s="74"/>
    </row>
    <row r="1156" ht="18.75">
      <c r="D1156" s="74"/>
    </row>
    <row r="1157" ht="18.75">
      <c r="D1157" s="74"/>
    </row>
    <row r="1158" ht="18.75">
      <c r="D1158" s="74"/>
    </row>
    <row r="1159" ht="18.75">
      <c r="D1159" s="74"/>
    </row>
    <row r="1160" ht="18.75">
      <c r="D1160" s="74"/>
    </row>
    <row r="1161" ht="18.75">
      <c r="D1161" s="74"/>
    </row>
    <row r="1162" ht="18.75">
      <c r="D1162" s="74"/>
    </row>
    <row r="1163" ht="18.75">
      <c r="D1163" s="74"/>
    </row>
    <row r="1164" ht="18.75">
      <c r="D1164" s="74"/>
    </row>
    <row r="1165" ht="18.75">
      <c r="D1165" s="74"/>
    </row>
    <row r="1166" ht="18.75">
      <c r="D1166" s="74"/>
    </row>
    <row r="1167" ht="18.75">
      <c r="D1167" s="74"/>
    </row>
    <row r="1168" ht="18.75">
      <c r="D1168" s="74"/>
    </row>
    <row r="1169" ht="18.75">
      <c r="D1169" s="74"/>
    </row>
    <row r="1170" ht="18.75">
      <c r="D1170" s="74"/>
    </row>
    <row r="1171" ht="18.75">
      <c r="D1171" s="74"/>
    </row>
    <row r="1172" ht="18.75">
      <c r="D1172" s="74"/>
    </row>
    <row r="1173" ht="18.75">
      <c r="D1173" s="74"/>
    </row>
    <row r="1174" ht="18.75">
      <c r="D1174" s="74"/>
    </row>
    <row r="1175" ht="18.75">
      <c r="D1175" s="74"/>
    </row>
    <row r="1176" ht="18.75">
      <c r="D1176" s="74"/>
    </row>
    <row r="1177" ht="18.75">
      <c r="D1177" s="74"/>
    </row>
    <row r="1178" ht="18.75">
      <c r="D1178" s="74"/>
    </row>
    <row r="1179" ht="18.75">
      <c r="D1179" s="74"/>
    </row>
    <row r="1180" ht="18.75">
      <c r="D1180" s="74"/>
    </row>
    <row r="1181" ht="18.75">
      <c r="D1181" s="74"/>
    </row>
    <row r="1182" ht="18.75">
      <c r="D1182" s="74"/>
    </row>
    <row r="1183" ht="18.75">
      <c r="D1183" s="74"/>
    </row>
    <row r="1184" ht="18.75">
      <c r="D1184" s="74"/>
    </row>
    <row r="1185" ht="18.75">
      <c r="D1185" s="74"/>
    </row>
    <row r="1186" ht="18.75">
      <c r="D1186" s="74"/>
    </row>
    <row r="1187" ht="18.75">
      <c r="D1187" s="74"/>
    </row>
    <row r="1188" ht="18.75">
      <c r="D1188" s="74"/>
    </row>
    <row r="1189" ht="18.75">
      <c r="D1189" s="74"/>
    </row>
    <row r="1190" ht="18.75">
      <c r="D1190" s="74"/>
    </row>
    <row r="1191" ht="18.75">
      <c r="D1191" s="74"/>
    </row>
    <row r="1192" ht="18.75">
      <c r="D1192" s="74"/>
    </row>
    <row r="1193" ht="18.75">
      <c r="D1193" s="74"/>
    </row>
  </sheetData>
  <sheetProtection/>
  <mergeCells count="17">
    <mergeCell ref="A1:J1"/>
    <mergeCell ref="D4:F4"/>
    <mergeCell ref="A5:A6"/>
    <mergeCell ref="B5:B6"/>
    <mergeCell ref="C5:H5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</mergeCells>
  <printOptions/>
  <pageMargins left="0" right="0" top="0" bottom="0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V176"/>
  <sheetViews>
    <sheetView tabSelected="1" view="pageBreakPreview" zoomScale="75" zoomScaleSheetLayoutView="75" zoomScalePageLayoutView="0" workbookViewId="0" topLeftCell="A1">
      <selection activeCell="B108" sqref="B108"/>
    </sheetView>
  </sheetViews>
  <sheetFormatPr defaultColWidth="9.140625" defaultRowHeight="12.75"/>
  <cols>
    <col min="1" max="1" width="28.7109375" style="95" customWidth="1"/>
    <col min="2" max="2" width="81.7109375" style="96" customWidth="1"/>
    <col min="3" max="3" width="18.421875" style="97" hidden="1" customWidth="1"/>
    <col min="4" max="4" width="14.57421875" style="25" hidden="1" customWidth="1"/>
    <col min="5" max="5" width="17.57421875" style="98" hidden="1" customWidth="1"/>
    <col min="6" max="8" width="17.57421875" style="98" customWidth="1"/>
    <col min="9" max="17" width="17.57421875" style="98" hidden="1" customWidth="1"/>
    <col min="18" max="18" width="7.00390625" style="99" hidden="1" customWidth="1"/>
    <col min="19" max="21" width="15.7109375" style="99" hidden="1" customWidth="1"/>
    <col min="22" max="22" width="15.8515625" style="99" hidden="1" customWidth="1"/>
    <col min="23" max="16384" width="9.140625" style="99" customWidth="1"/>
  </cols>
  <sheetData>
    <row r="2" spans="1:17" s="28" customFormat="1" ht="45" customHeight="1">
      <c r="A2" s="145" t="s">
        <v>222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ht="19.5" thickBot="1"/>
    <row r="4" spans="1:17" ht="47.25" customHeight="1">
      <c r="A4" s="131" t="s">
        <v>191</v>
      </c>
      <c r="B4" s="131" t="s">
        <v>56</v>
      </c>
      <c r="C4" s="147" t="s">
        <v>221</v>
      </c>
      <c r="D4" s="148"/>
      <c r="E4" s="148"/>
      <c r="F4" s="148"/>
      <c r="G4" s="148"/>
      <c r="H4" s="149"/>
      <c r="I4" s="150" t="s">
        <v>223</v>
      </c>
      <c r="J4" s="142" t="s">
        <v>203</v>
      </c>
      <c r="K4" s="142" t="s">
        <v>224</v>
      </c>
      <c r="L4" s="150" t="s">
        <v>225</v>
      </c>
      <c r="M4" s="142" t="s">
        <v>207</v>
      </c>
      <c r="N4" s="142" t="s">
        <v>226</v>
      </c>
      <c r="O4" s="150" t="s">
        <v>227</v>
      </c>
      <c r="P4" s="142" t="s">
        <v>210</v>
      </c>
      <c r="Q4" s="142" t="s">
        <v>228</v>
      </c>
    </row>
    <row r="5" spans="1:17" s="35" customFormat="1" ht="24.75" customHeight="1">
      <c r="A5" s="146"/>
      <c r="B5" s="146"/>
      <c r="C5" s="100" t="s">
        <v>14</v>
      </c>
      <c r="D5" s="101" t="s">
        <v>15</v>
      </c>
      <c r="E5" s="100" t="s">
        <v>190</v>
      </c>
      <c r="F5" s="100" t="s">
        <v>212</v>
      </c>
      <c r="G5" s="100" t="s">
        <v>213</v>
      </c>
      <c r="H5" s="100" t="s">
        <v>214</v>
      </c>
      <c r="I5" s="151"/>
      <c r="J5" s="142"/>
      <c r="K5" s="142"/>
      <c r="L5" s="151"/>
      <c r="M5" s="142"/>
      <c r="N5" s="142"/>
      <c r="O5" s="151"/>
      <c r="P5" s="142"/>
      <c r="Q5" s="142"/>
    </row>
    <row r="6" spans="1:17" s="35" customFormat="1" ht="22.5" customHeight="1">
      <c r="A6" s="34">
        <v>1</v>
      </c>
      <c r="B6" s="34">
        <v>2</v>
      </c>
      <c r="C6" s="102">
        <v>3</v>
      </c>
      <c r="D6" s="103"/>
      <c r="E6" s="102">
        <v>3</v>
      </c>
      <c r="F6" s="102">
        <v>3</v>
      </c>
      <c r="G6" s="102">
        <v>4</v>
      </c>
      <c r="H6" s="102">
        <v>5</v>
      </c>
      <c r="I6" s="102">
        <v>7</v>
      </c>
      <c r="J6" s="102" t="s">
        <v>229</v>
      </c>
      <c r="K6" s="102" t="s">
        <v>215</v>
      </c>
      <c r="L6" s="102">
        <v>10</v>
      </c>
      <c r="M6" s="102" t="s">
        <v>230</v>
      </c>
      <c r="N6" s="102" t="s">
        <v>231</v>
      </c>
      <c r="O6" s="102">
        <v>13</v>
      </c>
      <c r="P6" s="102" t="s">
        <v>232</v>
      </c>
      <c r="Q6" s="102" t="s">
        <v>233</v>
      </c>
    </row>
    <row r="7" spans="1:22" s="108" customFormat="1" ht="30" customHeight="1">
      <c r="A7" s="81" t="s">
        <v>57</v>
      </c>
      <c r="B7" s="82" t="s">
        <v>58</v>
      </c>
      <c r="C7" s="83">
        <f aca="true" t="shared" si="0" ref="C7:H7">C8+C9+C10+C11+C14+C18+C19+C20</f>
        <v>41508.4</v>
      </c>
      <c r="D7" s="76">
        <f t="shared" si="0"/>
        <v>35881.1</v>
      </c>
      <c r="E7" s="85">
        <f t="shared" si="0"/>
        <v>57290.8</v>
      </c>
      <c r="F7" s="85">
        <f t="shared" si="0"/>
        <v>50609.5</v>
      </c>
      <c r="G7" s="85">
        <f t="shared" si="0"/>
        <v>50695.7</v>
      </c>
      <c r="H7" s="85">
        <f t="shared" si="0"/>
        <v>51842.2</v>
      </c>
      <c r="I7" s="104">
        <f aca="true" t="shared" si="1" ref="I7:I70">F7/T7</f>
        <v>0.0744156235240976</v>
      </c>
      <c r="J7" s="104">
        <f>F7/E7</f>
        <v>0.8833791812996152</v>
      </c>
      <c r="K7" s="85">
        <f>F7-E7</f>
        <v>-6681.300000000003</v>
      </c>
      <c r="L7" s="104">
        <f aca="true" t="shared" si="2" ref="L7:L70">G7/U7</f>
        <v>0.08106030758840001</v>
      </c>
      <c r="M7" s="104">
        <f>G7/F7</f>
        <v>1.001703237534455</v>
      </c>
      <c r="N7" s="85">
        <f>G7-F7</f>
        <v>86.19999999999709</v>
      </c>
      <c r="O7" s="104">
        <f aca="true" t="shared" si="3" ref="O7:O70">H7/V7</f>
        <v>0.08068315060558041</v>
      </c>
      <c r="P7" s="104">
        <f>H7/G7</f>
        <v>1.0226153302942853</v>
      </c>
      <c r="Q7" s="85">
        <f>H7-G7</f>
        <v>1146.5</v>
      </c>
      <c r="R7" s="105">
        <f>F7/615135*100</f>
        <v>8.227380981410585</v>
      </c>
      <c r="S7" s="105">
        <f>F7/E7*100</f>
        <v>88.33791812996152</v>
      </c>
      <c r="T7" s="106">
        <v>680092.4</v>
      </c>
      <c r="U7" s="107">
        <v>625407.2</v>
      </c>
      <c r="V7" s="107">
        <v>642540.6</v>
      </c>
    </row>
    <row r="8" spans="1:22" s="112" customFormat="1" ht="50.25" customHeight="1">
      <c r="A8" s="93" t="s">
        <v>59</v>
      </c>
      <c r="B8" s="5" t="s">
        <v>272</v>
      </c>
      <c r="C8" s="3">
        <v>962.1</v>
      </c>
      <c r="D8" s="22">
        <v>0</v>
      </c>
      <c r="E8" s="75">
        <f>1755</f>
        <v>1755</v>
      </c>
      <c r="F8" s="109">
        <f>1560</f>
        <v>1560</v>
      </c>
      <c r="G8" s="109">
        <f>1619.3</f>
        <v>1619.3</v>
      </c>
      <c r="H8" s="109">
        <f>1680.8</f>
        <v>1680.8</v>
      </c>
      <c r="I8" s="110">
        <f t="shared" si="1"/>
        <v>0.002293805959307882</v>
      </c>
      <c r="J8" s="110">
        <f aca="true" t="shared" si="4" ref="J8:J73">F8/E8</f>
        <v>0.8888888888888888</v>
      </c>
      <c r="K8" s="75">
        <f aca="true" t="shared" si="5" ref="K8:K73">F8-E8</f>
        <v>-195</v>
      </c>
      <c r="L8" s="110">
        <f t="shared" si="2"/>
        <v>0.002589193088918708</v>
      </c>
      <c r="M8" s="110">
        <f aca="true" t="shared" si="6" ref="M8:M73">G8/F8</f>
        <v>1.0380128205128205</v>
      </c>
      <c r="N8" s="75">
        <f aca="true" t="shared" si="7" ref="N8:N73">G8-F8</f>
        <v>59.299999999999955</v>
      </c>
      <c r="O8" s="110">
        <f t="shared" si="3"/>
        <v>0.0026158658301125254</v>
      </c>
      <c r="P8" s="110">
        <f aca="true" t="shared" si="8" ref="P8:P73">H8/G8</f>
        <v>1.0379793738034953</v>
      </c>
      <c r="Q8" s="75">
        <f aca="true" t="shared" si="9" ref="Q8:Q73">H8-G8</f>
        <v>61.5</v>
      </c>
      <c r="R8" s="111">
        <f aca="true" t="shared" si="10" ref="R8:R75">F8/615135*100</f>
        <v>0.2536028676631959</v>
      </c>
      <c r="T8" s="113">
        <v>680092.4</v>
      </c>
      <c r="U8" s="114">
        <v>625407.2</v>
      </c>
      <c r="V8" s="114">
        <v>642540.6</v>
      </c>
    </row>
    <row r="9" spans="1:22" ht="34.5" customHeight="1" hidden="1">
      <c r="A9" s="77" t="s">
        <v>60</v>
      </c>
      <c r="B9" s="78" t="s">
        <v>61</v>
      </c>
      <c r="C9" s="79">
        <v>1684.4</v>
      </c>
      <c r="D9" s="21">
        <v>580.8</v>
      </c>
      <c r="E9" s="80">
        <f>0</f>
        <v>0</v>
      </c>
      <c r="F9" s="80">
        <f>0</f>
        <v>0</v>
      </c>
      <c r="G9" s="80">
        <f>0</f>
        <v>0</v>
      </c>
      <c r="H9" s="80">
        <f>0</f>
        <v>0</v>
      </c>
      <c r="I9" s="115">
        <f t="shared" si="1"/>
        <v>0</v>
      </c>
      <c r="J9" s="115" t="e">
        <f t="shared" si="4"/>
        <v>#DIV/0!</v>
      </c>
      <c r="K9" s="80">
        <f t="shared" si="5"/>
        <v>0</v>
      </c>
      <c r="L9" s="115">
        <f t="shared" si="2"/>
        <v>0</v>
      </c>
      <c r="M9" s="115" t="e">
        <f t="shared" si="6"/>
        <v>#DIV/0!</v>
      </c>
      <c r="N9" s="80">
        <f t="shared" si="7"/>
        <v>0</v>
      </c>
      <c r="O9" s="115">
        <f t="shared" si="3"/>
        <v>0</v>
      </c>
      <c r="P9" s="115" t="e">
        <f t="shared" si="8"/>
        <v>#DIV/0!</v>
      </c>
      <c r="Q9" s="80">
        <f t="shared" si="9"/>
        <v>0</v>
      </c>
      <c r="R9" s="116">
        <f t="shared" si="10"/>
        <v>0</v>
      </c>
      <c r="T9" s="117">
        <v>680092.4</v>
      </c>
      <c r="U9" s="118">
        <v>625407.2</v>
      </c>
      <c r="V9" s="118">
        <v>642540.6</v>
      </c>
    </row>
    <row r="10" spans="1:22" ht="18.75" hidden="1">
      <c r="A10" s="77"/>
      <c r="B10" s="78"/>
      <c r="C10" s="79">
        <v>0</v>
      </c>
      <c r="D10" s="21">
        <v>0</v>
      </c>
      <c r="E10" s="80"/>
      <c r="F10" s="80"/>
      <c r="G10" s="80"/>
      <c r="H10" s="80"/>
      <c r="I10" s="115">
        <f t="shared" si="1"/>
        <v>0</v>
      </c>
      <c r="J10" s="115" t="e">
        <f t="shared" si="4"/>
        <v>#DIV/0!</v>
      </c>
      <c r="K10" s="80">
        <f t="shared" si="5"/>
        <v>0</v>
      </c>
      <c r="L10" s="115">
        <f t="shared" si="2"/>
        <v>0</v>
      </c>
      <c r="M10" s="115" t="e">
        <f t="shared" si="6"/>
        <v>#DIV/0!</v>
      </c>
      <c r="N10" s="80">
        <f t="shared" si="7"/>
        <v>0</v>
      </c>
      <c r="O10" s="115">
        <f t="shared" si="3"/>
        <v>0</v>
      </c>
      <c r="P10" s="115" t="e">
        <f t="shared" si="8"/>
        <v>#DIV/0!</v>
      </c>
      <c r="Q10" s="80">
        <f t="shared" si="9"/>
        <v>0</v>
      </c>
      <c r="R10" s="116">
        <f t="shared" si="10"/>
        <v>0</v>
      </c>
      <c r="T10" s="117">
        <v>680092.4</v>
      </c>
      <c r="U10" s="118">
        <v>625407.2</v>
      </c>
      <c r="V10" s="118">
        <v>642540.6</v>
      </c>
    </row>
    <row r="11" spans="1:22" s="112" customFormat="1" ht="40.5" customHeight="1">
      <c r="A11" s="93" t="s">
        <v>62</v>
      </c>
      <c r="B11" s="5" t="s">
        <v>273</v>
      </c>
      <c r="C11" s="3">
        <v>19510.1</v>
      </c>
      <c r="D11" s="22">
        <v>19152.2</v>
      </c>
      <c r="E11" s="75">
        <f>25866.6-1755</f>
        <v>24111.6</v>
      </c>
      <c r="F11" s="75">
        <v>24456.5</v>
      </c>
      <c r="G11" s="75">
        <f>25337.1-500</f>
        <v>24837.1</v>
      </c>
      <c r="H11" s="75">
        <f>26251.4-1000</f>
        <v>25251.4</v>
      </c>
      <c r="I11" s="110">
        <f t="shared" si="1"/>
        <v>0.03596055477167514</v>
      </c>
      <c r="J11" s="110">
        <f t="shared" si="4"/>
        <v>1.0143043182534548</v>
      </c>
      <c r="K11" s="75">
        <f t="shared" si="5"/>
        <v>344.90000000000146</v>
      </c>
      <c r="L11" s="110">
        <f t="shared" si="2"/>
        <v>0.039713485869686184</v>
      </c>
      <c r="M11" s="110">
        <f t="shared" si="6"/>
        <v>1.0155623249442889</v>
      </c>
      <c r="N11" s="75">
        <f t="shared" si="7"/>
        <v>380.59999999999854</v>
      </c>
      <c r="O11" s="110">
        <f t="shared" si="3"/>
        <v>0.03929930653409295</v>
      </c>
      <c r="P11" s="110">
        <f t="shared" si="8"/>
        <v>1.0166806913850652</v>
      </c>
      <c r="Q11" s="75">
        <f t="shared" si="9"/>
        <v>414.3000000000029</v>
      </c>
      <c r="R11" s="111">
        <f t="shared" si="10"/>
        <v>3.9757939314134294</v>
      </c>
      <c r="T11" s="113">
        <v>680092.4</v>
      </c>
      <c r="U11" s="114">
        <v>625407.2</v>
      </c>
      <c r="V11" s="114">
        <v>642540.6</v>
      </c>
    </row>
    <row r="12" spans="1:22" ht="18.75" hidden="1">
      <c r="A12" s="77"/>
      <c r="B12" s="78" t="s">
        <v>63</v>
      </c>
      <c r="C12" s="79"/>
      <c r="D12" s="21"/>
      <c r="E12" s="80"/>
      <c r="F12" s="80"/>
      <c r="G12" s="80"/>
      <c r="H12" s="80"/>
      <c r="I12" s="115">
        <f t="shared" si="1"/>
        <v>0</v>
      </c>
      <c r="J12" s="115" t="e">
        <f t="shared" si="4"/>
        <v>#DIV/0!</v>
      </c>
      <c r="K12" s="80">
        <f t="shared" si="5"/>
        <v>0</v>
      </c>
      <c r="L12" s="115">
        <f t="shared" si="2"/>
        <v>0</v>
      </c>
      <c r="M12" s="115" t="e">
        <f t="shared" si="6"/>
        <v>#DIV/0!</v>
      </c>
      <c r="N12" s="80">
        <f t="shared" si="7"/>
        <v>0</v>
      </c>
      <c r="O12" s="115">
        <f t="shared" si="3"/>
        <v>0</v>
      </c>
      <c r="P12" s="115" t="e">
        <f t="shared" si="8"/>
        <v>#DIV/0!</v>
      </c>
      <c r="Q12" s="80">
        <f t="shared" si="9"/>
        <v>0</v>
      </c>
      <c r="R12" s="116">
        <f t="shared" si="10"/>
        <v>0</v>
      </c>
      <c r="T12" s="117">
        <v>680092.4</v>
      </c>
      <c r="U12" s="118">
        <v>625407.2</v>
      </c>
      <c r="V12" s="118">
        <v>642540.6</v>
      </c>
    </row>
    <row r="13" spans="1:22" ht="35.25" customHeight="1" hidden="1">
      <c r="A13" s="77"/>
      <c r="B13" s="78" t="s">
        <v>64</v>
      </c>
      <c r="C13" s="79"/>
      <c r="D13" s="21">
        <v>919.6</v>
      </c>
      <c r="E13" s="80">
        <f>0</f>
        <v>0</v>
      </c>
      <c r="F13" s="80">
        <f>0</f>
        <v>0</v>
      </c>
      <c r="G13" s="80">
        <f>0</f>
        <v>0</v>
      </c>
      <c r="H13" s="80">
        <f>0</f>
        <v>0</v>
      </c>
      <c r="I13" s="115">
        <f t="shared" si="1"/>
        <v>0</v>
      </c>
      <c r="J13" s="115" t="e">
        <f t="shared" si="4"/>
        <v>#DIV/0!</v>
      </c>
      <c r="K13" s="80">
        <f t="shared" si="5"/>
        <v>0</v>
      </c>
      <c r="L13" s="115">
        <f t="shared" si="2"/>
        <v>0</v>
      </c>
      <c r="M13" s="115" t="e">
        <f t="shared" si="6"/>
        <v>#DIV/0!</v>
      </c>
      <c r="N13" s="80">
        <f t="shared" si="7"/>
        <v>0</v>
      </c>
      <c r="O13" s="115">
        <f t="shared" si="3"/>
        <v>0</v>
      </c>
      <c r="P13" s="115" t="e">
        <f t="shared" si="8"/>
        <v>#DIV/0!</v>
      </c>
      <c r="Q13" s="80">
        <f t="shared" si="9"/>
        <v>0</v>
      </c>
      <c r="R13" s="116">
        <f t="shared" si="10"/>
        <v>0</v>
      </c>
      <c r="T13" s="117">
        <v>680092.4</v>
      </c>
      <c r="U13" s="118">
        <v>625407.2</v>
      </c>
      <c r="V13" s="118">
        <v>642540.6</v>
      </c>
    </row>
    <row r="14" spans="1:22" s="112" customFormat="1" ht="40.5" customHeight="1">
      <c r="A14" s="93" t="s">
        <v>65</v>
      </c>
      <c r="B14" s="5" t="s">
        <v>274</v>
      </c>
      <c r="C14" s="3">
        <f aca="true" t="shared" si="11" ref="C14:H14">C15+C16+C17</f>
        <v>7118.4</v>
      </c>
      <c r="D14" s="22">
        <f t="shared" si="11"/>
        <v>6460.5</v>
      </c>
      <c r="E14" s="75">
        <f t="shared" si="11"/>
        <v>7181.3</v>
      </c>
      <c r="F14" s="75">
        <f t="shared" si="11"/>
        <v>7485.2</v>
      </c>
      <c r="G14" s="75">
        <f t="shared" si="11"/>
        <v>7750.6</v>
      </c>
      <c r="H14" s="75">
        <f t="shared" si="11"/>
        <v>8025.9</v>
      </c>
      <c r="I14" s="110">
        <f t="shared" si="1"/>
        <v>0.011006151517058563</v>
      </c>
      <c r="J14" s="110">
        <f t="shared" si="4"/>
        <v>1.0423182432150166</v>
      </c>
      <c r="K14" s="75">
        <f t="shared" si="5"/>
        <v>303.89999999999964</v>
      </c>
      <c r="L14" s="110">
        <f t="shared" si="2"/>
        <v>0.012392885787052022</v>
      </c>
      <c r="M14" s="110">
        <f t="shared" si="6"/>
        <v>1.035456634425266</v>
      </c>
      <c r="N14" s="75">
        <f t="shared" si="7"/>
        <v>265.40000000000055</v>
      </c>
      <c r="O14" s="110">
        <f t="shared" si="3"/>
        <v>0.012490883844538383</v>
      </c>
      <c r="P14" s="110">
        <f t="shared" si="8"/>
        <v>1.0355198307227826</v>
      </c>
      <c r="Q14" s="75">
        <f t="shared" si="9"/>
        <v>275.2999999999993</v>
      </c>
      <c r="R14" s="111">
        <f t="shared" si="10"/>
        <v>1.216838580149073</v>
      </c>
      <c r="T14" s="113">
        <v>680092.4</v>
      </c>
      <c r="U14" s="114">
        <v>625407.2</v>
      </c>
      <c r="V14" s="114">
        <v>642540.6</v>
      </c>
    </row>
    <row r="15" spans="1:22" ht="39" customHeight="1">
      <c r="A15" s="77"/>
      <c r="B15" s="78" t="s">
        <v>66</v>
      </c>
      <c r="C15" s="79">
        <v>7118.4</v>
      </c>
      <c r="D15" s="21">
        <f>406.5+90.7+5303.2</f>
        <v>5800.4</v>
      </c>
      <c r="E15" s="80">
        <f>6472.8</f>
        <v>6472.8</v>
      </c>
      <c r="F15" s="80">
        <v>7078</v>
      </c>
      <c r="G15" s="80">
        <v>7328.5</v>
      </c>
      <c r="H15" s="80">
        <v>7588.4</v>
      </c>
      <c r="I15" s="115">
        <f t="shared" si="1"/>
        <v>0.010407409346141788</v>
      </c>
      <c r="J15" s="115">
        <f t="shared" si="4"/>
        <v>1.0934989494500063</v>
      </c>
      <c r="K15" s="80">
        <f t="shared" si="5"/>
        <v>605.1999999999998</v>
      </c>
      <c r="L15" s="115">
        <f t="shared" si="2"/>
        <v>0.011717965511110203</v>
      </c>
      <c r="M15" s="115">
        <f t="shared" si="6"/>
        <v>1.0353913534896864</v>
      </c>
      <c r="N15" s="80">
        <f t="shared" si="7"/>
        <v>250.5</v>
      </c>
      <c r="O15" s="115">
        <f t="shared" si="3"/>
        <v>0.011809993018340008</v>
      </c>
      <c r="P15" s="115">
        <f t="shared" si="8"/>
        <v>1.0354642832776146</v>
      </c>
      <c r="Q15" s="80">
        <f t="shared" si="9"/>
        <v>259.89999999999964</v>
      </c>
      <c r="R15" s="116">
        <f t="shared" si="10"/>
        <v>1.1506417290513464</v>
      </c>
      <c r="T15" s="117">
        <v>680092.4</v>
      </c>
      <c r="U15" s="118">
        <v>625407.2</v>
      </c>
      <c r="V15" s="118">
        <v>642540.6</v>
      </c>
    </row>
    <row r="16" spans="1:22" ht="18.75" hidden="1">
      <c r="A16" s="77"/>
      <c r="B16" s="78" t="s">
        <v>67</v>
      </c>
      <c r="C16" s="79"/>
      <c r="D16" s="21"/>
      <c r="E16" s="80"/>
      <c r="F16" s="80"/>
      <c r="G16" s="80"/>
      <c r="H16" s="80"/>
      <c r="I16" s="115">
        <f t="shared" si="1"/>
        <v>0</v>
      </c>
      <c r="J16" s="115" t="e">
        <f t="shared" si="4"/>
        <v>#DIV/0!</v>
      </c>
      <c r="K16" s="80">
        <f t="shared" si="5"/>
        <v>0</v>
      </c>
      <c r="L16" s="115">
        <f t="shared" si="2"/>
        <v>0</v>
      </c>
      <c r="M16" s="115" t="e">
        <f t="shared" si="6"/>
        <v>#DIV/0!</v>
      </c>
      <c r="N16" s="80">
        <f t="shared" si="7"/>
        <v>0</v>
      </c>
      <c r="O16" s="115">
        <f t="shared" si="3"/>
        <v>0</v>
      </c>
      <c r="P16" s="115" t="e">
        <f t="shared" si="8"/>
        <v>#DIV/0!</v>
      </c>
      <c r="Q16" s="80">
        <f t="shared" si="9"/>
        <v>0</v>
      </c>
      <c r="R16" s="116">
        <f t="shared" si="10"/>
        <v>0</v>
      </c>
      <c r="T16" s="117">
        <v>680092.4</v>
      </c>
      <c r="U16" s="118">
        <v>625407.2</v>
      </c>
      <c r="V16" s="118">
        <v>642540.6</v>
      </c>
    </row>
    <row r="17" spans="1:22" ht="48.75" customHeight="1">
      <c r="A17" s="77"/>
      <c r="B17" s="78" t="s">
        <v>275</v>
      </c>
      <c r="C17" s="79"/>
      <c r="D17" s="21">
        <f>660.1</f>
        <v>660.1</v>
      </c>
      <c r="E17" s="80">
        <f>708.5</f>
        <v>708.5</v>
      </c>
      <c r="F17" s="80">
        <v>407.2</v>
      </c>
      <c r="G17" s="80">
        <v>422.1</v>
      </c>
      <c r="H17" s="80">
        <v>437.5</v>
      </c>
      <c r="I17" s="115">
        <f t="shared" si="1"/>
        <v>0.0005987421709167754</v>
      </c>
      <c r="J17" s="115">
        <f t="shared" si="4"/>
        <v>0.5747353563867326</v>
      </c>
      <c r="K17" s="80">
        <f t="shared" si="5"/>
        <v>-301.3</v>
      </c>
      <c r="L17" s="115">
        <f t="shared" si="2"/>
        <v>0.0006749202759418185</v>
      </c>
      <c r="M17" s="115">
        <f t="shared" si="6"/>
        <v>1.0365913555992143</v>
      </c>
      <c r="N17" s="80">
        <f t="shared" si="7"/>
        <v>14.900000000000034</v>
      </c>
      <c r="O17" s="115">
        <f t="shared" si="3"/>
        <v>0.0006808908261983756</v>
      </c>
      <c r="P17" s="115">
        <f t="shared" si="8"/>
        <v>1.0364842454394692</v>
      </c>
      <c r="Q17" s="80">
        <f t="shared" si="9"/>
        <v>15.399999999999977</v>
      </c>
      <c r="R17" s="116">
        <f t="shared" si="10"/>
        <v>0.06619685109772651</v>
      </c>
      <c r="T17" s="117">
        <v>680092.4</v>
      </c>
      <c r="U17" s="118">
        <v>625407.2</v>
      </c>
      <c r="V17" s="118">
        <v>642540.6</v>
      </c>
    </row>
    <row r="18" spans="1:22" ht="45.75" customHeight="1" hidden="1">
      <c r="A18" s="77" t="s">
        <v>68</v>
      </c>
      <c r="B18" s="78" t="s">
        <v>69</v>
      </c>
      <c r="C18" s="79">
        <v>0</v>
      </c>
      <c r="D18" s="21">
        <v>0</v>
      </c>
      <c r="E18" s="80">
        <v>0</v>
      </c>
      <c r="F18" s="80">
        <v>0</v>
      </c>
      <c r="G18" s="80">
        <v>0</v>
      </c>
      <c r="H18" s="80">
        <v>0</v>
      </c>
      <c r="I18" s="115">
        <f t="shared" si="1"/>
        <v>0</v>
      </c>
      <c r="J18" s="115" t="e">
        <f t="shared" si="4"/>
        <v>#DIV/0!</v>
      </c>
      <c r="K18" s="80">
        <f t="shared" si="5"/>
        <v>0</v>
      </c>
      <c r="L18" s="115">
        <f t="shared" si="2"/>
        <v>0</v>
      </c>
      <c r="M18" s="115" t="e">
        <f t="shared" si="6"/>
        <v>#DIV/0!</v>
      </c>
      <c r="N18" s="80">
        <f t="shared" si="7"/>
        <v>0</v>
      </c>
      <c r="O18" s="115">
        <f t="shared" si="3"/>
        <v>0</v>
      </c>
      <c r="P18" s="115" t="e">
        <f t="shared" si="8"/>
        <v>#DIV/0!</v>
      </c>
      <c r="Q18" s="80">
        <f t="shared" si="9"/>
        <v>0</v>
      </c>
      <c r="R18" s="116">
        <f t="shared" si="10"/>
        <v>0</v>
      </c>
      <c r="T18" s="117">
        <v>680092.4</v>
      </c>
      <c r="U18" s="118">
        <v>625407.2</v>
      </c>
      <c r="V18" s="118">
        <v>642540.6</v>
      </c>
    </row>
    <row r="19" spans="1:22" s="112" customFormat="1" ht="30" customHeight="1">
      <c r="A19" s="93" t="s">
        <v>70</v>
      </c>
      <c r="B19" s="5" t="s">
        <v>71</v>
      </c>
      <c r="C19" s="3">
        <v>1300</v>
      </c>
      <c r="D19" s="22">
        <v>300</v>
      </c>
      <c r="E19" s="75">
        <f>500</f>
        <v>500</v>
      </c>
      <c r="F19" s="75">
        <f>500</f>
        <v>500</v>
      </c>
      <c r="G19" s="75">
        <f>500</f>
        <v>500</v>
      </c>
      <c r="H19" s="75">
        <f>500</f>
        <v>500</v>
      </c>
      <c r="I19" s="110">
        <f t="shared" si="1"/>
        <v>0.0007351942177268853</v>
      </c>
      <c r="J19" s="110">
        <f t="shared" si="4"/>
        <v>1</v>
      </c>
      <c r="K19" s="75">
        <f t="shared" si="5"/>
        <v>0</v>
      </c>
      <c r="L19" s="110">
        <f t="shared" si="2"/>
        <v>0.0007994791233615475</v>
      </c>
      <c r="M19" s="110">
        <f t="shared" si="6"/>
        <v>1</v>
      </c>
      <c r="N19" s="75">
        <f t="shared" si="7"/>
        <v>0</v>
      </c>
      <c r="O19" s="110">
        <f t="shared" si="3"/>
        <v>0.000778160944226715</v>
      </c>
      <c r="P19" s="110">
        <f t="shared" si="8"/>
        <v>1</v>
      </c>
      <c r="Q19" s="75">
        <f t="shared" si="9"/>
        <v>0</v>
      </c>
      <c r="R19" s="111">
        <f t="shared" si="10"/>
        <v>0.08128297040487048</v>
      </c>
      <c r="T19" s="113">
        <v>680092.4</v>
      </c>
      <c r="U19" s="114">
        <v>625407.2</v>
      </c>
      <c r="V19" s="114">
        <v>642540.6</v>
      </c>
    </row>
    <row r="20" spans="1:22" s="112" customFormat="1" ht="33.75" customHeight="1">
      <c r="A20" s="93" t="s">
        <v>72</v>
      </c>
      <c r="B20" s="5" t="s">
        <v>237</v>
      </c>
      <c r="C20" s="3">
        <f>C23++C25+C26+C27+C28+C29+C30+C31+C33</f>
        <v>10933.4</v>
      </c>
      <c r="D20" s="22">
        <f>D23++D25+D26+D28+D29+D30+D31+D33</f>
        <v>9387.6</v>
      </c>
      <c r="E20" s="75">
        <f>E23++E25+E26+E28+E29+E30+E31+E33+E34</f>
        <v>23742.9</v>
      </c>
      <c r="F20" s="75">
        <f>F23+F25+F26+F28+F29+F30+F31+F33+F34</f>
        <v>16607.8</v>
      </c>
      <c r="G20" s="75">
        <f>G23++G25+G26+G28+G29+G30+G31+G33+G34</f>
        <v>15988.7</v>
      </c>
      <c r="H20" s="75">
        <f>H23++H25+H26+H28+H29+H30+H31+H33+H34</f>
        <v>16384.1</v>
      </c>
      <c r="I20" s="110">
        <f t="shared" si="1"/>
        <v>0.024419917058329133</v>
      </c>
      <c r="J20" s="110">
        <f t="shared" si="4"/>
        <v>0.6994848986433838</v>
      </c>
      <c r="K20" s="75">
        <f t="shared" si="5"/>
        <v>-7135.100000000002</v>
      </c>
      <c r="L20" s="110">
        <f t="shared" si="2"/>
        <v>0.025565263719381552</v>
      </c>
      <c r="M20" s="110">
        <f t="shared" si="6"/>
        <v>0.9627223352882381</v>
      </c>
      <c r="N20" s="75">
        <f t="shared" si="7"/>
        <v>-619.0999999999985</v>
      </c>
      <c r="O20" s="110">
        <f t="shared" si="3"/>
        <v>0.02549893345260984</v>
      </c>
      <c r="P20" s="110">
        <f t="shared" si="8"/>
        <v>1.0247299655381612</v>
      </c>
      <c r="Q20" s="75">
        <f t="shared" si="9"/>
        <v>395.3999999999978</v>
      </c>
      <c r="R20" s="111">
        <f t="shared" si="10"/>
        <v>2.6998626317800154</v>
      </c>
      <c r="T20" s="113">
        <v>680092.4</v>
      </c>
      <c r="U20" s="114">
        <v>625407.2</v>
      </c>
      <c r="V20" s="114">
        <v>642540.6</v>
      </c>
    </row>
    <row r="21" spans="1:22" ht="33.75" customHeight="1" hidden="1">
      <c r="A21" s="1"/>
      <c r="B21" s="2" t="s">
        <v>234</v>
      </c>
      <c r="C21" s="3"/>
      <c r="D21" s="21"/>
      <c r="E21" s="10">
        <v>0</v>
      </c>
      <c r="F21" s="10"/>
      <c r="G21" s="10"/>
      <c r="H21" s="10"/>
      <c r="I21" s="119" t="e">
        <f t="shared" si="1"/>
        <v>#DIV/0!</v>
      </c>
      <c r="J21" s="119" t="e">
        <f t="shared" si="4"/>
        <v>#DIV/0!</v>
      </c>
      <c r="K21" s="10">
        <f t="shared" si="5"/>
        <v>0</v>
      </c>
      <c r="L21" s="119" t="e">
        <f t="shared" si="2"/>
        <v>#DIV/0!</v>
      </c>
      <c r="M21" s="119" t="e">
        <f t="shared" si="6"/>
        <v>#DIV/0!</v>
      </c>
      <c r="N21" s="10">
        <f t="shared" si="7"/>
        <v>0</v>
      </c>
      <c r="O21" s="119" t="e">
        <f t="shared" si="3"/>
        <v>#DIV/0!</v>
      </c>
      <c r="P21" s="119" t="e">
        <f t="shared" si="8"/>
        <v>#DIV/0!</v>
      </c>
      <c r="Q21" s="10">
        <f t="shared" si="9"/>
        <v>0</v>
      </c>
      <c r="R21" s="120"/>
      <c r="T21" s="117"/>
      <c r="U21" s="118"/>
      <c r="V21" s="118"/>
    </row>
    <row r="22" spans="1:22" ht="33.75" customHeight="1" hidden="1">
      <c r="A22" s="1"/>
      <c r="B22" s="2" t="s">
        <v>235</v>
      </c>
      <c r="C22" s="3"/>
      <c r="D22" s="21"/>
      <c r="E22" s="10">
        <v>0</v>
      </c>
      <c r="F22" s="10"/>
      <c r="G22" s="10"/>
      <c r="H22" s="10"/>
      <c r="I22" s="119" t="e">
        <f t="shared" si="1"/>
        <v>#DIV/0!</v>
      </c>
      <c r="J22" s="119" t="e">
        <f t="shared" si="4"/>
        <v>#DIV/0!</v>
      </c>
      <c r="K22" s="10">
        <f t="shared" si="5"/>
        <v>0</v>
      </c>
      <c r="L22" s="119" t="e">
        <f t="shared" si="2"/>
        <v>#DIV/0!</v>
      </c>
      <c r="M22" s="119" t="e">
        <f t="shared" si="6"/>
        <v>#DIV/0!</v>
      </c>
      <c r="N22" s="10">
        <f t="shared" si="7"/>
        <v>0</v>
      </c>
      <c r="O22" s="119" t="e">
        <f t="shared" si="3"/>
        <v>#DIV/0!</v>
      </c>
      <c r="P22" s="119" t="e">
        <f t="shared" si="8"/>
        <v>#DIV/0!</v>
      </c>
      <c r="Q22" s="10">
        <f t="shared" si="9"/>
        <v>0</v>
      </c>
      <c r="R22" s="120"/>
      <c r="T22" s="117"/>
      <c r="U22" s="118"/>
      <c r="V22" s="118"/>
    </row>
    <row r="23" spans="1:22" ht="48" customHeight="1">
      <c r="A23" s="77"/>
      <c r="B23" s="78" t="s">
        <v>238</v>
      </c>
      <c r="C23" s="79">
        <f>6890-490</f>
        <v>6400</v>
      </c>
      <c r="D23" s="21">
        <f>4662.5</f>
        <v>4662.5</v>
      </c>
      <c r="E23" s="80">
        <f>5238.8</f>
        <v>5238.8</v>
      </c>
      <c r="F23" s="80">
        <v>6717</v>
      </c>
      <c r="G23" s="80">
        <v>6836.1</v>
      </c>
      <c r="H23" s="80">
        <v>6959.8</v>
      </c>
      <c r="I23" s="115">
        <f t="shared" si="1"/>
        <v>0.009876599120942978</v>
      </c>
      <c r="J23" s="115">
        <f t="shared" si="4"/>
        <v>1.2821638543177827</v>
      </c>
      <c r="K23" s="80">
        <f t="shared" si="5"/>
        <v>1478.1999999999998</v>
      </c>
      <c r="L23" s="115">
        <f t="shared" si="2"/>
        <v>0.010930638470423752</v>
      </c>
      <c r="M23" s="115">
        <f t="shared" si="6"/>
        <v>1.0177311299687362</v>
      </c>
      <c r="N23" s="80">
        <f t="shared" si="7"/>
        <v>119.10000000000036</v>
      </c>
      <c r="O23" s="115">
        <f t="shared" si="3"/>
        <v>0.010831689079258184</v>
      </c>
      <c r="P23" s="115">
        <f t="shared" si="8"/>
        <v>1.0180951127104636</v>
      </c>
      <c r="Q23" s="80">
        <f t="shared" si="9"/>
        <v>123.69999999999982</v>
      </c>
      <c r="R23" s="116">
        <f t="shared" si="10"/>
        <v>1.09195542441903</v>
      </c>
      <c r="T23" s="117">
        <v>680092.4</v>
      </c>
      <c r="U23" s="118">
        <v>625407.2</v>
      </c>
      <c r="V23" s="118">
        <v>642540.6</v>
      </c>
    </row>
    <row r="24" spans="1:22" s="29" customFormat="1" ht="27.75" customHeight="1">
      <c r="A24" s="91"/>
      <c r="B24" s="86" t="s">
        <v>73</v>
      </c>
      <c r="C24" s="79"/>
      <c r="D24" s="21">
        <v>44.1</v>
      </c>
      <c r="E24" s="20">
        <f>12</f>
        <v>12</v>
      </c>
      <c r="F24" s="20">
        <f>12</f>
        <v>12</v>
      </c>
      <c r="G24" s="20">
        <f>12</f>
        <v>12</v>
      </c>
      <c r="H24" s="20">
        <f>12</f>
        <v>12</v>
      </c>
      <c r="I24" s="121">
        <f t="shared" si="1"/>
        <v>1.7644661225445246E-05</v>
      </c>
      <c r="J24" s="121">
        <f t="shared" si="4"/>
        <v>1</v>
      </c>
      <c r="K24" s="20">
        <f t="shared" si="5"/>
        <v>0</v>
      </c>
      <c r="L24" s="121">
        <f t="shared" si="2"/>
        <v>1.9187498960677142E-05</v>
      </c>
      <c r="M24" s="121">
        <f t="shared" si="6"/>
        <v>1</v>
      </c>
      <c r="N24" s="20">
        <f t="shared" si="7"/>
        <v>0</v>
      </c>
      <c r="O24" s="121">
        <f t="shared" si="3"/>
        <v>1.8675862661441162E-05</v>
      </c>
      <c r="P24" s="121">
        <f t="shared" si="8"/>
        <v>1</v>
      </c>
      <c r="Q24" s="20">
        <f t="shared" si="9"/>
        <v>0</v>
      </c>
      <c r="R24" s="122">
        <f t="shared" si="10"/>
        <v>0.0019507912897168914</v>
      </c>
      <c r="T24" s="123">
        <v>680092.4</v>
      </c>
      <c r="U24" s="124">
        <v>625407.2</v>
      </c>
      <c r="V24" s="124">
        <v>642540.6</v>
      </c>
    </row>
    <row r="25" spans="1:22" ht="75" customHeight="1" hidden="1">
      <c r="A25" s="77"/>
      <c r="B25" s="78" t="s">
        <v>74</v>
      </c>
      <c r="C25" s="79">
        <f>490</f>
        <v>490</v>
      </c>
      <c r="D25" s="21">
        <v>0</v>
      </c>
      <c r="E25" s="80">
        <v>0</v>
      </c>
      <c r="F25" s="80">
        <v>0</v>
      </c>
      <c r="G25" s="80">
        <v>0</v>
      </c>
      <c r="H25" s="80">
        <v>0</v>
      </c>
      <c r="I25" s="115">
        <f t="shared" si="1"/>
        <v>0</v>
      </c>
      <c r="J25" s="115" t="e">
        <f t="shared" si="4"/>
        <v>#DIV/0!</v>
      </c>
      <c r="K25" s="80">
        <f t="shared" si="5"/>
        <v>0</v>
      </c>
      <c r="L25" s="115">
        <f t="shared" si="2"/>
        <v>0</v>
      </c>
      <c r="M25" s="115" t="e">
        <f t="shared" si="6"/>
        <v>#DIV/0!</v>
      </c>
      <c r="N25" s="80">
        <f t="shared" si="7"/>
        <v>0</v>
      </c>
      <c r="O25" s="115">
        <f t="shared" si="3"/>
        <v>0</v>
      </c>
      <c r="P25" s="115" t="e">
        <f t="shared" si="8"/>
        <v>#DIV/0!</v>
      </c>
      <c r="Q25" s="80">
        <f t="shared" si="9"/>
        <v>0</v>
      </c>
      <c r="R25" s="116">
        <f t="shared" si="10"/>
        <v>0</v>
      </c>
      <c r="T25" s="117">
        <v>680092.4</v>
      </c>
      <c r="U25" s="118">
        <v>625407.2</v>
      </c>
      <c r="V25" s="118">
        <v>642540.6</v>
      </c>
    </row>
    <row r="26" spans="1:22" ht="51" customHeight="1">
      <c r="A26" s="77"/>
      <c r="B26" s="78" t="s">
        <v>239</v>
      </c>
      <c r="C26" s="79">
        <f>1903</f>
        <v>1903</v>
      </c>
      <c r="D26" s="21">
        <f>1587.7</f>
        <v>1587.7</v>
      </c>
      <c r="E26" s="80">
        <f>2552</f>
        <v>2552</v>
      </c>
      <c r="F26" s="80">
        <v>3374</v>
      </c>
      <c r="G26" s="80">
        <v>3498.1</v>
      </c>
      <c r="H26" s="80">
        <v>3626.8</v>
      </c>
      <c r="I26" s="115">
        <f t="shared" si="1"/>
        <v>0.004961090581221022</v>
      </c>
      <c r="J26" s="115">
        <f t="shared" si="4"/>
        <v>1.3221003134796239</v>
      </c>
      <c r="K26" s="80">
        <f t="shared" si="5"/>
        <v>822</v>
      </c>
      <c r="L26" s="115">
        <f t="shared" si="2"/>
        <v>0.0055933158428620585</v>
      </c>
      <c r="M26" s="115">
        <f t="shared" si="6"/>
        <v>1.036781268524007</v>
      </c>
      <c r="N26" s="80">
        <f t="shared" si="7"/>
        <v>124.09999999999991</v>
      </c>
      <c r="O26" s="115">
        <f t="shared" si="3"/>
        <v>0.005644468225042901</v>
      </c>
      <c r="P26" s="115">
        <f t="shared" si="8"/>
        <v>1.0367914010462824</v>
      </c>
      <c r="Q26" s="80">
        <f t="shared" si="9"/>
        <v>128.70000000000027</v>
      </c>
      <c r="R26" s="116">
        <f t="shared" si="10"/>
        <v>0.5484974842920659</v>
      </c>
      <c r="T26" s="117">
        <v>680092.4</v>
      </c>
      <c r="U26" s="118">
        <v>625407.2</v>
      </c>
      <c r="V26" s="118">
        <v>642540.6</v>
      </c>
    </row>
    <row r="27" spans="1:22" ht="27" customHeight="1" hidden="1">
      <c r="A27" s="77"/>
      <c r="B27" s="86" t="s">
        <v>73</v>
      </c>
      <c r="C27" s="79"/>
      <c r="D27" s="21">
        <v>1</v>
      </c>
      <c r="E27" s="20">
        <f>0</f>
        <v>0</v>
      </c>
      <c r="F27" s="20">
        <f>0</f>
        <v>0</v>
      </c>
      <c r="G27" s="20">
        <f>0</f>
        <v>0</v>
      </c>
      <c r="H27" s="20">
        <f>0</f>
        <v>0</v>
      </c>
      <c r="I27" s="115">
        <f t="shared" si="1"/>
        <v>0</v>
      </c>
      <c r="J27" s="115" t="e">
        <f t="shared" si="4"/>
        <v>#DIV/0!</v>
      </c>
      <c r="K27" s="80">
        <f t="shared" si="5"/>
        <v>0</v>
      </c>
      <c r="L27" s="115">
        <f t="shared" si="2"/>
        <v>0</v>
      </c>
      <c r="M27" s="115" t="e">
        <f t="shared" si="6"/>
        <v>#DIV/0!</v>
      </c>
      <c r="N27" s="80">
        <f t="shared" si="7"/>
        <v>0</v>
      </c>
      <c r="O27" s="115">
        <f t="shared" si="3"/>
        <v>0</v>
      </c>
      <c r="P27" s="115" t="e">
        <f t="shared" si="8"/>
        <v>#DIV/0!</v>
      </c>
      <c r="Q27" s="80">
        <f t="shared" si="9"/>
        <v>0</v>
      </c>
      <c r="R27" s="116">
        <f t="shared" si="10"/>
        <v>0</v>
      </c>
      <c r="T27" s="117">
        <v>680092.4</v>
      </c>
      <c r="U27" s="118">
        <v>625407.2</v>
      </c>
      <c r="V27" s="118">
        <v>642540.6</v>
      </c>
    </row>
    <row r="28" spans="1:22" ht="47.25" customHeight="1">
      <c r="A28" s="77"/>
      <c r="B28" s="78" t="s">
        <v>240</v>
      </c>
      <c r="C28" s="79">
        <f>57.9</f>
        <v>57.9</v>
      </c>
      <c r="D28" s="20">
        <f>0</f>
        <v>0</v>
      </c>
      <c r="E28" s="80">
        <f>60</f>
        <v>60</v>
      </c>
      <c r="F28" s="80">
        <v>50</v>
      </c>
      <c r="G28" s="80">
        <v>50</v>
      </c>
      <c r="H28" s="80">
        <v>50</v>
      </c>
      <c r="I28" s="115">
        <f t="shared" si="1"/>
        <v>7.351942177268854E-05</v>
      </c>
      <c r="J28" s="115">
        <f t="shared" si="4"/>
        <v>0.8333333333333334</v>
      </c>
      <c r="K28" s="80">
        <f t="shared" si="5"/>
        <v>-10</v>
      </c>
      <c r="L28" s="115">
        <f t="shared" si="2"/>
        <v>7.994791233615476E-05</v>
      </c>
      <c r="M28" s="115">
        <f t="shared" si="6"/>
        <v>1</v>
      </c>
      <c r="N28" s="80">
        <f t="shared" si="7"/>
        <v>0</v>
      </c>
      <c r="O28" s="115">
        <f t="shared" si="3"/>
        <v>7.78160944226715E-05</v>
      </c>
      <c r="P28" s="115">
        <f t="shared" si="8"/>
        <v>1</v>
      </c>
      <c r="Q28" s="80">
        <f t="shared" si="9"/>
        <v>0</v>
      </c>
      <c r="R28" s="116">
        <f t="shared" si="10"/>
        <v>0.008128297040487047</v>
      </c>
      <c r="T28" s="117">
        <v>680092.4</v>
      </c>
      <c r="U28" s="118">
        <v>625407.2</v>
      </c>
      <c r="V28" s="118">
        <v>642540.6</v>
      </c>
    </row>
    <row r="29" spans="1:22" ht="41.25" customHeight="1">
      <c r="A29" s="77"/>
      <c r="B29" s="78" t="s">
        <v>234</v>
      </c>
      <c r="C29" s="79"/>
      <c r="D29" s="21"/>
      <c r="E29" s="80"/>
      <c r="F29" s="80">
        <v>263.3</v>
      </c>
      <c r="G29" s="80">
        <v>263.3</v>
      </c>
      <c r="H29" s="80">
        <v>263.3</v>
      </c>
      <c r="I29" s="115">
        <f t="shared" si="1"/>
        <v>0.0003871532750549778</v>
      </c>
      <c r="J29" s="115" t="e">
        <f t="shared" si="4"/>
        <v>#DIV/0!</v>
      </c>
      <c r="K29" s="80">
        <f t="shared" si="5"/>
        <v>263.3</v>
      </c>
      <c r="L29" s="115">
        <f t="shared" si="2"/>
        <v>0.000421005706362191</v>
      </c>
      <c r="M29" s="115">
        <f t="shared" si="6"/>
        <v>1</v>
      </c>
      <c r="N29" s="80">
        <f t="shared" si="7"/>
        <v>0</v>
      </c>
      <c r="O29" s="115">
        <f t="shared" si="3"/>
        <v>0.00040977955322978813</v>
      </c>
      <c r="P29" s="115">
        <f t="shared" si="8"/>
        <v>1</v>
      </c>
      <c r="Q29" s="80">
        <f t="shared" si="9"/>
        <v>0</v>
      </c>
      <c r="R29" s="116">
        <f t="shared" si="10"/>
        <v>0.042803612215204796</v>
      </c>
      <c r="T29" s="117">
        <v>680092.4</v>
      </c>
      <c r="U29" s="118">
        <v>625407.2</v>
      </c>
      <c r="V29" s="118">
        <v>642540.6</v>
      </c>
    </row>
    <row r="30" spans="1:22" ht="37.5" customHeight="1">
      <c r="A30" s="77"/>
      <c r="B30" s="78" t="s">
        <v>241</v>
      </c>
      <c r="C30" s="79"/>
      <c r="D30" s="21"/>
      <c r="E30" s="80"/>
      <c r="F30" s="80">
        <v>200</v>
      </c>
      <c r="G30" s="80">
        <v>200</v>
      </c>
      <c r="H30" s="80">
        <v>200</v>
      </c>
      <c r="I30" s="115">
        <f t="shared" si="1"/>
        <v>0.00029407768709075415</v>
      </c>
      <c r="J30" s="115" t="e">
        <f t="shared" si="4"/>
        <v>#DIV/0!</v>
      </c>
      <c r="K30" s="80">
        <f t="shared" si="5"/>
        <v>200</v>
      </c>
      <c r="L30" s="115">
        <f t="shared" si="2"/>
        <v>0.000319791649344619</v>
      </c>
      <c r="M30" s="115">
        <f t="shared" si="6"/>
        <v>1</v>
      </c>
      <c r="N30" s="80">
        <f t="shared" si="7"/>
        <v>0</v>
      </c>
      <c r="O30" s="115">
        <f t="shared" si="3"/>
        <v>0.000311264377690686</v>
      </c>
      <c r="P30" s="115">
        <f t="shared" si="8"/>
        <v>1</v>
      </c>
      <c r="Q30" s="80">
        <f t="shared" si="9"/>
        <v>0</v>
      </c>
      <c r="R30" s="116">
        <f t="shared" si="10"/>
        <v>0.03251318816194819</v>
      </c>
      <c r="T30" s="117">
        <v>680092.4</v>
      </c>
      <c r="U30" s="118">
        <v>625407.2</v>
      </c>
      <c r="V30" s="118">
        <v>642540.6</v>
      </c>
    </row>
    <row r="31" spans="1:22" ht="45" customHeight="1">
      <c r="A31" s="77"/>
      <c r="B31" s="78" t="s">
        <v>276</v>
      </c>
      <c r="C31" s="79">
        <f>2082.5-110</f>
        <v>1972.5</v>
      </c>
      <c r="D31" s="21">
        <v>3017.4</v>
      </c>
      <c r="E31" s="80">
        <f>4692.1-500</f>
        <v>4192.1</v>
      </c>
      <c r="F31" s="80">
        <v>4003.5</v>
      </c>
      <c r="G31" s="80">
        <v>4141.2</v>
      </c>
      <c r="H31" s="80">
        <v>4284.2</v>
      </c>
      <c r="I31" s="115">
        <f t="shared" si="1"/>
        <v>0.0058867001013391705</v>
      </c>
      <c r="J31" s="115">
        <f t="shared" si="4"/>
        <v>0.9550106152047899</v>
      </c>
      <c r="K31" s="80">
        <f t="shared" si="5"/>
        <v>-188.60000000000036</v>
      </c>
      <c r="L31" s="115">
        <f t="shared" si="2"/>
        <v>0.006621605891329681</v>
      </c>
      <c r="M31" s="115">
        <f t="shared" si="6"/>
        <v>1.0343949044585987</v>
      </c>
      <c r="N31" s="80">
        <f t="shared" si="7"/>
        <v>137.69999999999982</v>
      </c>
      <c r="O31" s="115">
        <f t="shared" si="3"/>
        <v>0.006667594234512185</v>
      </c>
      <c r="P31" s="115">
        <f t="shared" si="8"/>
        <v>1.0345310538008308</v>
      </c>
      <c r="Q31" s="80">
        <f t="shared" si="9"/>
        <v>143</v>
      </c>
      <c r="R31" s="116">
        <f t="shared" si="10"/>
        <v>0.6508327440317979</v>
      </c>
      <c r="T31" s="117">
        <v>680092.4</v>
      </c>
      <c r="U31" s="118">
        <v>625407.2</v>
      </c>
      <c r="V31" s="118">
        <v>642540.6</v>
      </c>
    </row>
    <row r="32" spans="1:22" s="29" customFormat="1" ht="50.25" customHeight="1">
      <c r="A32" s="143"/>
      <c r="B32" s="94" t="s">
        <v>242</v>
      </c>
      <c r="C32" s="79"/>
      <c r="D32" s="21">
        <v>599.7</v>
      </c>
      <c r="E32" s="20">
        <f>592.9</f>
        <v>592.9</v>
      </c>
      <c r="F32" s="20">
        <v>594.6</v>
      </c>
      <c r="G32" s="20">
        <v>614.5</v>
      </c>
      <c r="H32" s="20">
        <v>635.2</v>
      </c>
      <c r="I32" s="121">
        <f t="shared" si="1"/>
        <v>0.0008742929637208121</v>
      </c>
      <c r="J32" s="121">
        <f t="shared" si="4"/>
        <v>1.0028672626075223</v>
      </c>
      <c r="K32" s="20">
        <f t="shared" si="5"/>
        <v>1.7000000000000455</v>
      </c>
      <c r="L32" s="121">
        <f t="shared" si="2"/>
        <v>0.0009825598426113418</v>
      </c>
      <c r="M32" s="121">
        <f t="shared" si="6"/>
        <v>1.0334678775647494</v>
      </c>
      <c r="N32" s="20">
        <f t="shared" si="7"/>
        <v>19.899999999999977</v>
      </c>
      <c r="O32" s="121">
        <f t="shared" si="3"/>
        <v>0.0009885756635456188</v>
      </c>
      <c r="P32" s="121">
        <f t="shared" si="8"/>
        <v>1.033685923515053</v>
      </c>
      <c r="Q32" s="20">
        <f t="shared" si="9"/>
        <v>20.700000000000045</v>
      </c>
      <c r="R32" s="122">
        <f t="shared" si="10"/>
        <v>0.09666170840547197</v>
      </c>
      <c r="T32" s="123">
        <v>680092.4</v>
      </c>
      <c r="U32" s="124">
        <v>625407.2</v>
      </c>
      <c r="V32" s="124">
        <v>642540.6</v>
      </c>
    </row>
    <row r="33" spans="1:22" ht="81" customHeight="1" hidden="1">
      <c r="A33" s="144"/>
      <c r="B33" s="87" t="s">
        <v>75</v>
      </c>
      <c r="C33" s="79">
        <f>110</f>
        <v>110</v>
      </c>
      <c r="D33" s="21">
        <v>120</v>
      </c>
      <c r="E33" s="80">
        <v>0</v>
      </c>
      <c r="F33" s="80">
        <v>0</v>
      </c>
      <c r="G33" s="80">
        <v>0</v>
      </c>
      <c r="H33" s="80">
        <v>0</v>
      </c>
      <c r="I33" s="115">
        <f t="shared" si="1"/>
        <v>0</v>
      </c>
      <c r="J33" s="115" t="e">
        <f t="shared" si="4"/>
        <v>#DIV/0!</v>
      </c>
      <c r="K33" s="80">
        <f t="shared" si="5"/>
        <v>0</v>
      </c>
      <c r="L33" s="115">
        <f t="shared" si="2"/>
        <v>0</v>
      </c>
      <c r="M33" s="115" t="e">
        <f t="shared" si="6"/>
        <v>#DIV/0!</v>
      </c>
      <c r="N33" s="80">
        <f t="shared" si="7"/>
        <v>0</v>
      </c>
      <c r="O33" s="115">
        <f t="shared" si="3"/>
        <v>0</v>
      </c>
      <c r="P33" s="115" t="e">
        <f t="shared" si="8"/>
        <v>#DIV/0!</v>
      </c>
      <c r="Q33" s="80">
        <f t="shared" si="9"/>
        <v>0</v>
      </c>
      <c r="R33" s="116">
        <f t="shared" si="10"/>
        <v>0</v>
      </c>
      <c r="T33" s="117">
        <v>680092.4</v>
      </c>
      <c r="U33" s="118">
        <v>625407.2</v>
      </c>
      <c r="V33" s="118">
        <v>642540.6</v>
      </c>
    </row>
    <row r="34" spans="1:22" ht="53.25" customHeight="1">
      <c r="A34" s="77"/>
      <c r="B34" s="87" t="s">
        <v>11</v>
      </c>
      <c r="C34" s="79"/>
      <c r="D34" s="21">
        <v>0</v>
      </c>
      <c r="E34" s="80">
        <f>200+1000+10000+500</f>
        <v>11700</v>
      </c>
      <c r="F34" s="80">
        <f>2000</f>
        <v>2000</v>
      </c>
      <c r="G34" s="80">
        <f>2000-1000</f>
        <v>1000</v>
      </c>
      <c r="H34" s="80">
        <f>2000-1000</f>
        <v>1000</v>
      </c>
      <c r="I34" s="115">
        <f t="shared" si="1"/>
        <v>0.0029407768709075414</v>
      </c>
      <c r="J34" s="115">
        <f t="shared" si="4"/>
        <v>0.17094017094017094</v>
      </c>
      <c r="K34" s="80">
        <f t="shared" si="5"/>
        <v>-9700</v>
      </c>
      <c r="L34" s="115">
        <f t="shared" si="2"/>
        <v>0.001598958246723095</v>
      </c>
      <c r="M34" s="115">
        <f t="shared" si="6"/>
        <v>0.5</v>
      </c>
      <c r="N34" s="80">
        <f t="shared" si="7"/>
        <v>-1000</v>
      </c>
      <c r="O34" s="115">
        <f t="shared" si="3"/>
        <v>0.00155632188845343</v>
      </c>
      <c r="P34" s="115">
        <f t="shared" si="8"/>
        <v>1</v>
      </c>
      <c r="Q34" s="80">
        <f t="shared" si="9"/>
        <v>0</v>
      </c>
      <c r="R34" s="116">
        <f t="shared" si="10"/>
        <v>0.3251318816194819</v>
      </c>
      <c r="T34" s="117">
        <v>680092.4</v>
      </c>
      <c r="U34" s="118">
        <v>625407.2</v>
      </c>
      <c r="V34" s="118">
        <v>642540.6</v>
      </c>
    </row>
    <row r="35" spans="1:22" s="28" customFormat="1" ht="37.5" customHeight="1" hidden="1">
      <c r="A35" s="1" t="s">
        <v>76</v>
      </c>
      <c r="B35" s="2" t="s">
        <v>77</v>
      </c>
      <c r="C35" s="3">
        <f aca="true" t="shared" si="12" ref="C35:H35">C36</f>
        <v>811.8</v>
      </c>
      <c r="D35" s="21">
        <f t="shared" si="12"/>
        <v>966</v>
      </c>
      <c r="E35" s="10">
        <f t="shared" si="12"/>
        <v>0</v>
      </c>
      <c r="F35" s="10">
        <f t="shared" si="12"/>
        <v>0</v>
      </c>
      <c r="G35" s="10">
        <f t="shared" si="12"/>
        <v>0</v>
      </c>
      <c r="H35" s="10">
        <f t="shared" si="12"/>
        <v>0</v>
      </c>
      <c r="I35" s="119">
        <f t="shared" si="1"/>
        <v>0</v>
      </c>
      <c r="J35" s="119" t="e">
        <f t="shared" si="4"/>
        <v>#DIV/0!</v>
      </c>
      <c r="K35" s="10">
        <f t="shared" si="5"/>
        <v>0</v>
      </c>
      <c r="L35" s="119">
        <f t="shared" si="2"/>
        <v>0</v>
      </c>
      <c r="M35" s="119" t="e">
        <f t="shared" si="6"/>
        <v>#DIV/0!</v>
      </c>
      <c r="N35" s="10">
        <f t="shared" si="7"/>
        <v>0</v>
      </c>
      <c r="O35" s="119">
        <f t="shared" si="3"/>
        <v>0</v>
      </c>
      <c r="P35" s="119" t="e">
        <f t="shared" si="8"/>
        <v>#DIV/0!</v>
      </c>
      <c r="Q35" s="10">
        <f t="shared" si="9"/>
        <v>0</v>
      </c>
      <c r="R35" s="120">
        <f t="shared" si="10"/>
        <v>0</v>
      </c>
      <c r="T35" s="117">
        <v>680092.4</v>
      </c>
      <c r="U35" s="118">
        <v>625407.2</v>
      </c>
      <c r="V35" s="118">
        <v>642540.6</v>
      </c>
    </row>
    <row r="36" spans="1:22" ht="45.75" customHeight="1" hidden="1">
      <c r="A36" s="1" t="s">
        <v>78</v>
      </c>
      <c r="B36" s="2" t="s">
        <v>79</v>
      </c>
      <c r="C36" s="3">
        <f>811.8</f>
        <v>811.8</v>
      </c>
      <c r="D36" s="21">
        <v>966</v>
      </c>
      <c r="E36" s="10">
        <f>0</f>
        <v>0</v>
      </c>
      <c r="F36" s="10">
        <f>0</f>
        <v>0</v>
      </c>
      <c r="G36" s="10">
        <f>0</f>
        <v>0</v>
      </c>
      <c r="H36" s="10">
        <f>0</f>
        <v>0</v>
      </c>
      <c r="I36" s="119">
        <f t="shared" si="1"/>
        <v>0</v>
      </c>
      <c r="J36" s="119" t="e">
        <f t="shared" si="4"/>
        <v>#DIV/0!</v>
      </c>
      <c r="K36" s="10">
        <f t="shared" si="5"/>
        <v>0</v>
      </c>
      <c r="L36" s="119">
        <f t="shared" si="2"/>
        <v>0</v>
      </c>
      <c r="M36" s="119" t="e">
        <f t="shared" si="6"/>
        <v>#DIV/0!</v>
      </c>
      <c r="N36" s="10">
        <f t="shared" si="7"/>
        <v>0</v>
      </c>
      <c r="O36" s="119">
        <f t="shared" si="3"/>
        <v>0</v>
      </c>
      <c r="P36" s="119" t="e">
        <f t="shared" si="8"/>
        <v>#DIV/0!</v>
      </c>
      <c r="Q36" s="10">
        <f t="shared" si="9"/>
        <v>0</v>
      </c>
      <c r="R36" s="120">
        <f t="shared" si="10"/>
        <v>0</v>
      </c>
      <c r="T36" s="117">
        <v>680092.4</v>
      </c>
      <c r="U36" s="118">
        <v>625407.2</v>
      </c>
      <c r="V36" s="118">
        <v>642540.6</v>
      </c>
    </row>
    <row r="37" spans="1:22" s="108" customFormat="1" ht="59.25" customHeight="1">
      <c r="A37" s="81" t="s">
        <v>80</v>
      </c>
      <c r="B37" s="82" t="s">
        <v>278</v>
      </c>
      <c r="C37" s="83">
        <f aca="true" t="shared" si="13" ref="C37:H37">C38+C45</f>
        <v>400</v>
      </c>
      <c r="D37" s="76">
        <f t="shared" si="13"/>
        <v>0</v>
      </c>
      <c r="E37" s="85">
        <f t="shared" si="13"/>
        <v>200</v>
      </c>
      <c r="F37" s="85">
        <f t="shared" si="13"/>
        <v>200</v>
      </c>
      <c r="G37" s="85">
        <f t="shared" si="13"/>
        <v>200</v>
      </c>
      <c r="H37" s="85">
        <f t="shared" si="13"/>
        <v>200</v>
      </c>
      <c r="I37" s="104">
        <f t="shared" si="1"/>
        <v>0.00029407768709075415</v>
      </c>
      <c r="J37" s="104">
        <f t="shared" si="4"/>
        <v>1</v>
      </c>
      <c r="K37" s="85">
        <f t="shared" si="5"/>
        <v>0</v>
      </c>
      <c r="L37" s="104">
        <f t="shared" si="2"/>
        <v>0.000319791649344619</v>
      </c>
      <c r="M37" s="104">
        <f t="shared" si="6"/>
        <v>1</v>
      </c>
      <c r="N37" s="85">
        <f t="shared" si="7"/>
        <v>0</v>
      </c>
      <c r="O37" s="104">
        <f t="shared" si="3"/>
        <v>0.000311264377690686</v>
      </c>
      <c r="P37" s="104">
        <f t="shared" si="8"/>
        <v>1</v>
      </c>
      <c r="Q37" s="85">
        <f t="shared" si="9"/>
        <v>0</v>
      </c>
      <c r="R37" s="105">
        <f t="shared" si="10"/>
        <v>0.03251318816194819</v>
      </c>
      <c r="S37" s="105">
        <f>F37/E37*100</f>
        <v>100</v>
      </c>
      <c r="T37" s="106">
        <v>680092.4</v>
      </c>
      <c r="U37" s="107">
        <v>625407.2</v>
      </c>
      <c r="V37" s="107">
        <v>642540.6</v>
      </c>
    </row>
    <row r="38" spans="1:22" s="112" customFormat="1" ht="47.25" customHeight="1">
      <c r="A38" s="93" t="s">
        <v>81</v>
      </c>
      <c r="B38" s="5" t="s">
        <v>244</v>
      </c>
      <c r="C38" s="3">
        <f>SUM(C40:C44)</f>
        <v>400</v>
      </c>
      <c r="D38" s="22">
        <f>SUM(D40:D44)</f>
        <v>0</v>
      </c>
      <c r="E38" s="75">
        <f>200</f>
        <v>200</v>
      </c>
      <c r="F38" s="75">
        <f>200</f>
        <v>200</v>
      </c>
      <c r="G38" s="75">
        <f>200</f>
        <v>200</v>
      </c>
      <c r="H38" s="75">
        <f>200</f>
        <v>200</v>
      </c>
      <c r="I38" s="110">
        <f t="shared" si="1"/>
        <v>0.00029407768709075415</v>
      </c>
      <c r="J38" s="110">
        <f t="shared" si="4"/>
        <v>1</v>
      </c>
      <c r="K38" s="75">
        <f t="shared" si="5"/>
        <v>0</v>
      </c>
      <c r="L38" s="110">
        <f t="shared" si="2"/>
        <v>0.000319791649344619</v>
      </c>
      <c r="M38" s="110">
        <f t="shared" si="6"/>
        <v>1</v>
      </c>
      <c r="N38" s="75">
        <f t="shared" si="7"/>
        <v>0</v>
      </c>
      <c r="O38" s="110">
        <f t="shared" si="3"/>
        <v>0.000311264377690686</v>
      </c>
      <c r="P38" s="110">
        <f t="shared" si="8"/>
        <v>1</v>
      </c>
      <c r="Q38" s="75">
        <f t="shared" si="9"/>
        <v>0</v>
      </c>
      <c r="R38" s="111">
        <f t="shared" si="10"/>
        <v>0.03251318816194819</v>
      </c>
      <c r="T38" s="113">
        <v>680092.4</v>
      </c>
      <c r="U38" s="114">
        <v>625407.2</v>
      </c>
      <c r="V38" s="114">
        <v>642540.6</v>
      </c>
    </row>
    <row r="39" spans="1:22" ht="21.75" customHeight="1" hidden="1">
      <c r="A39" s="77"/>
      <c r="B39" s="78" t="s">
        <v>82</v>
      </c>
      <c r="C39" s="79"/>
      <c r="D39" s="21"/>
      <c r="E39" s="80"/>
      <c r="F39" s="80"/>
      <c r="G39" s="80"/>
      <c r="H39" s="80"/>
      <c r="I39" s="115">
        <f t="shared" si="1"/>
        <v>0</v>
      </c>
      <c r="J39" s="115" t="e">
        <f t="shared" si="4"/>
        <v>#DIV/0!</v>
      </c>
      <c r="K39" s="80">
        <f t="shared" si="5"/>
        <v>0</v>
      </c>
      <c r="L39" s="115">
        <f t="shared" si="2"/>
        <v>0</v>
      </c>
      <c r="M39" s="115" t="e">
        <f t="shared" si="6"/>
        <v>#DIV/0!</v>
      </c>
      <c r="N39" s="80">
        <f t="shared" si="7"/>
        <v>0</v>
      </c>
      <c r="O39" s="115">
        <f t="shared" si="3"/>
        <v>0</v>
      </c>
      <c r="P39" s="115" t="e">
        <f t="shared" si="8"/>
        <v>#DIV/0!</v>
      </c>
      <c r="Q39" s="80">
        <f t="shared" si="9"/>
        <v>0</v>
      </c>
      <c r="R39" s="116">
        <f t="shared" si="10"/>
        <v>0</v>
      </c>
      <c r="T39" s="117">
        <v>680092.4</v>
      </c>
      <c r="U39" s="118">
        <v>625407.2</v>
      </c>
      <c r="V39" s="118">
        <v>642540.6</v>
      </c>
    </row>
    <row r="40" spans="1:22" ht="134.25" customHeight="1">
      <c r="A40" s="77"/>
      <c r="B40" s="78" t="s">
        <v>243</v>
      </c>
      <c r="C40" s="79">
        <f>100</f>
        <v>100</v>
      </c>
      <c r="D40" s="21">
        <v>0</v>
      </c>
      <c r="E40" s="80">
        <f>200</f>
        <v>200</v>
      </c>
      <c r="F40" s="80">
        <f>200</f>
        <v>200</v>
      </c>
      <c r="G40" s="80">
        <f>200</f>
        <v>200</v>
      </c>
      <c r="H40" s="80">
        <f>200</f>
        <v>200</v>
      </c>
      <c r="I40" s="115">
        <f t="shared" si="1"/>
        <v>0.00029407768709075415</v>
      </c>
      <c r="J40" s="115">
        <f t="shared" si="4"/>
        <v>1</v>
      </c>
      <c r="K40" s="80">
        <f t="shared" si="5"/>
        <v>0</v>
      </c>
      <c r="L40" s="115">
        <f t="shared" si="2"/>
        <v>0.000319791649344619</v>
      </c>
      <c r="M40" s="115">
        <f t="shared" si="6"/>
        <v>1</v>
      </c>
      <c r="N40" s="80">
        <f t="shared" si="7"/>
        <v>0</v>
      </c>
      <c r="O40" s="115">
        <f t="shared" si="3"/>
        <v>0.000311264377690686</v>
      </c>
      <c r="P40" s="115">
        <f t="shared" si="8"/>
        <v>1</v>
      </c>
      <c r="Q40" s="80">
        <f t="shared" si="9"/>
        <v>0</v>
      </c>
      <c r="R40" s="116">
        <f t="shared" si="10"/>
        <v>0.03251318816194819</v>
      </c>
      <c r="T40" s="117">
        <v>680092.4</v>
      </c>
      <c r="U40" s="118">
        <v>625407.2</v>
      </c>
      <c r="V40" s="118">
        <v>642540.6</v>
      </c>
    </row>
    <row r="41" spans="1:22" ht="39.75" customHeight="1" hidden="1">
      <c r="A41" s="1"/>
      <c r="B41" s="2" t="s">
        <v>83</v>
      </c>
      <c r="C41" s="3">
        <f>100</f>
        <v>100</v>
      </c>
      <c r="D41" s="21">
        <v>0</v>
      </c>
      <c r="E41" s="10">
        <v>0</v>
      </c>
      <c r="F41" s="10">
        <v>0</v>
      </c>
      <c r="G41" s="10">
        <v>0</v>
      </c>
      <c r="H41" s="10">
        <v>0</v>
      </c>
      <c r="I41" s="119">
        <f t="shared" si="1"/>
        <v>0</v>
      </c>
      <c r="J41" s="119" t="e">
        <f t="shared" si="4"/>
        <v>#DIV/0!</v>
      </c>
      <c r="K41" s="10">
        <f t="shared" si="5"/>
        <v>0</v>
      </c>
      <c r="L41" s="119">
        <f t="shared" si="2"/>
        <v>0</v>
      </c>
      <c r="M41" s="119" t="e">
        <f t="shared" si="6"/>
        <v>#DIV/0!</v>
      </c>
      <c r="N41" s="10">
        <f t="shared" si="7"/>
        <v>0</v>
      </c>
      <c r="O41" s="119">
        <f t="shared" si="3"/>
        <v>0</v>
      </c>
      <c r="P41" s="119" t="e">
        <f t="shared" si="8"/>
        <v>#DIV/0!</v>
      </c>
      <c r="Q41" s="10">
        <f t="shared" si="9"/>
        <v>0</v>
      </c>
      <c r="R41" s="120">
        <f t="shared" si="10"/>
        <v>0</v>
      </c>
      <c r="T41" s="117">
        <v>680092.4</v>
      </c>
      <c r="U41" s="118">
        <v>625407.2</v>
      </c>
      <c r="V41" s="118">
        <v>642540.6</v>
      </c>
    </row>
    <row r="42" spans="1:22" ht="46.5" customHeight="1" hidden="1">
      <c r="A42" s="1"/>
      <c r="B42" s="2" t="s">
        <v>84</v>
      </c>
      <c r="C42" s="3">
        <f>200</f>
        <v>200</v>
      </c>
      <c r="D42" s="21">
        <v>0</v>
      </c>
      <c r="E42" s="10">
        <v>0</v>
      </c>
      <c r="F42" s="10">
        <v>0</v>
      </c>
      <c r="G42" s="10">
        <v>0</v>
      </c>
      <c r="H42" s="10">
        <v>0</v>
      </c>
      <c r="I42" s="119">
        <f t="shared" si="1"/>
        <v>0</v>
      </c>
      <c r="J42" s="119" t="e">
        <f t="shared" si="4"/>
        <v>#DIV/0!</v>
      </c>
      <c r="K42" s="10">
        <f t="shared" si="5"/>
        <v>0</v>
      </c>
      <c r="L42" s="119">
        <f t="shared" si="2"/>
        <v>0</v>
      </c>
      <c r="M42" s="119" t="e">
        <f t="shared" si="6"/>
        <v>#DIV/0!</v>
      </c>
      <c r="N42" s="10">
        <f t="shared" si="7"/>
        <v>0</v>
      </c>
      <c r="O42" s="119">
        <f t="shared" si="3"/>
        <v>0</v>
      </c>
      <c r="P42" s="119" t="e">
        <f t="shared" si="8"/>
        <v>#DIV/0!</v>
      </c>
      <c r="Q42" s="10">
        <f t="shared" si="9"/>
        <v>0</v>
      </c>
      <c r="R42" s="120">
        <f t="shared" si="10"/>
        <v>0</v>
      </c>
      <c r="T42" s="117">
        <v>680092.4</v>
      </c>
      <c r="U42" s="118">
        <v>625407.2</v>
      </c>
      <c r="V42" s="118">
        <v>642540.6</v>
      </c>
    </row>
    <row r="43" spans="1:22" ht="120.75" customHeight="1" hidden="1">
      <c r="A43" s="1"/>
      <c r="B43" s="2" t="s">
        <v>85</v>
      </c>
      <c r="C43" s="3">
        <v>0</v>
      </c>
      <c r="D43" s="21">
        <v>0</v>
      </c>
      <c r="E43" s="10">
        <v>0</v>
      </c>
      <c r="F43" s="10">
        <v>0</v>
      </c>
      <c r="G43" s="10">
        <v>0</v>
      </c>
      <c r="H43" s="10">
        <v>0</v>
      </c>
      <c r="I43" s="119">
        <f t="shared" si="1"/>
        <v>0</v>
      </c>
      <c r="J43" s="119" t="e">
        <f t="shared" si="4"/>
        <v>#DIV/0!</v>
      </c>
      <c r="K43" s="10">
        <f t="shared" si="5"/>
        <v>0</v>
      </c>
      <c r="L43" s="119">
        <f t="shared" si="2"/>
        <v>0</v>
      </c>
      <c r="M43" s="119" t="e">
        <f t="shared" si="6"/>
        <v>#DIV/0!</v>
      </c>
      <c r="N43" s="10">
        <f t="shared" si="7"/>
        <v>0</v>
      </c>
      <c r="O43" s="119">
        <f t="shared" si="3"/>
        <v>0</v>
      </c>
      <c r="P43" s="119" t="e">
        <f t="shared" si="8"/>
        <v>#DIV/0!</v>
      </c>
      <c r="Q43" s="10">
        <f t="shared" si="9"/>
        <v>0</v>
      </c>
      <c r="R43" s="120">
        <f t="shared" si="10"/>
        <v>0</v>
      </c>
      <c r="T43" s="117">
        <v>680092.4</v>
      </c>
      <c r="U43" s="118">
        <v>625407.2</v>
      </c>
      <c r="V43" s="118">
        <v>642540.6</v>
      </c>
    </row>
    <row r="44" spans="1:22" ht="88.5" customHeight="1" hidden="1">
      <c r="A44" s="1"/>
      <c r="B44" s="2" t="s">
        <v>86</v>
      </c>
      <c r="C44" s="3">
        <v>0</v>
      </c>
      <c r="D44" s="21">
        <v>0</v>
      </c>
      <c r="E44" s="10">
        <v>0</v>
      </c>
      <c r="F44" s="10">
        <v>0</v>
      </c>
      <c r="G44" s="10">
        <v>0</v>
      </c>
      <c r="H44" s="10">
        <v>0</v>
      </c>
      <c r="I44" s="119">
        <f t="shared" si="1"/>
        <v>0</v>
      </c>
      <c r="J44" s="119" t="e">
        <f t="shared" si="4"/>
        <v>#DIV/0!</v>
      </c>
      <c r="K44" s="10">
        <f t="shared" si="5"/>
        <v>0</v>
      </c>
      <c r="L44" s="119">
        <f t="shared" si="2"/>
        <v>0</v>
      </c>
      <c r="M44" s="119" t="e">
        <f t="shared" si="6"/>
        <v>#DIV/0!</v>
      </c>
      <c r="N44" s="10">
        <f t="shared" si="7"/>
        <v>0</v>
      </c>
      <c r="O44" s="119">
        <f t="shared" si="3"/>
        <v>0</v>
      </c>
      <c r="P44" s="119" t="e">
        <f t="shared" si="8"/>
        <v>#DIV/0!</v>
      </c>
      <c r="Q44" s="10">
        <f t="shared" si="9"/>
        <v>0</v>
      </c>
      <c r="R44" s="120">
        <f t="shared" si="10"/>
        <v>0</v>
      </c>
      <c r="T44" s="117">
        <v>680092.4</v>
      </c>
      <c r="U44" s="118">
        <v>625407.2</v>
      </c>
      <c r="V44" s="118">
        <v>642540.6</v>
      </c>
    </row>
    <row r="45" spans="1:22" ht="19.5" hidden="1">
      <c r="A45" s="1" t="s">
        <v>87</v>
      </c>
      <c r="B45" s="2" t="s">
        <v>88</v>
      </c>
      <c r="C45" s="3"/>
      <c r="D45" s="21"/>
      <c r="E45" s="10"/>
      <c r="F45" s="10"/>
      <c r="G45" s="10"/>
      <c r="H45" s="10"/>
      <c r="I45" s="119">
        <f t="shared" si="1"/>
        <v>0</v>
      </c>
      <c r="J45" s="119" t="e">
        <f t="shared" si="4"/>
        <v>#DIV/0!</v>
      </c>
      <c r="K45" s="10">
        <f t="shared" si="5"/>
        <v>0</v>
      </c>
      <c r="L45" s="119">
        <f t="shared" si="2"/>
        <v>0</v>
      </c>
      <c r="M45" s="119" t="e">
        <f t="shared" si="6"/>
        <v>#DIV/0!</v>
      </c>
      <c r="N45" s="10">
        <f t="shared" si="7"/>
        <v>0</v>
      </c>
      <c r="O45" s="119">
        <f t="shared" si="3"/>
        <v>0</v>
      </c>
      <c r="P45" s="119" t="e">
        <f t="shared" si="8"/>
        <v>#DIV/0!</v>
      </c>
      <c r="Q45" s="10">
        <f t="shared" si="9"/>
        <v>0</v>
      </c>
      <c r="R45" s="120">
        <f t="shared" si="10"/>
        <v>0</v>
      </c>
      <c r="T45" s="117">
        <v>680092.4</v>
      </c>
      <c r="U45" s="118">
        <v>625407.2</v>
      </c>
      <c r="V45" s="118">
        <v>642540.6</v>
      </c>
    </row>
    <row r="46" spans="1:22" ht="19.5" hidden="1">
      <c r="A46" s="1"/>
      <c r="B46" s="2" t="s">
        <v>89</v>
      </c>
      <c r="C46" s="3"/>
      <c r="D46" s="21"/>
      <c r="E46" s="10"/>
      <c r="F46" s="10"/>
      <c r="G46" s="10"/>
      <c r="H46" s="10"/>
      <c r="I46" s="119">
        <f t="shared" si="1"/>
        <v>0</v>
      </c>
      <c r="J46" s="119" t="e">
        <f t="shared" si="4"/>
        <v>#DIV/0!</v>
      </c>
      <c r="K46" s="10">
        <f t="shared" si="5"/>
        <v>0</v>
      </c>
      <c r="L46" s="119">
        <f t="shared" si="2"/>
        <v>0</v>
      </c>
      <c r="M46" s="119" t="e">
        <f t="shared" si="6"/>
        <v>#DIV/0!</v>
      </c>
      <c r="N46" s="10">
        <f t="shared" si="7"/>
        <v>0</v>
      </c>
      <c r="O46" s="119">
        <f t="shared" si="3"/>
        <v>0</v>
      </c>
      <c r="P46" s="119" t="e">
        <f t="shared" si="8"/>
        <v>#DIV/0!</v>
      </c>
      <c r="Q46" s="10">
        <f t="shared" si="9"/>
        <v>0</v>
      </c>
      <c r="R46" s="120">
        <f t="shared" si="10"/>
        <v>0</v>
      </c>
      <c r="T46" s="117">
        <v>680092.4</v>
      </c>
      <c r="U46" s="118">
        <v>625407.2</v>
      </c>
      <c r="V46" s="118">
        <v>642540.6</v>
      </c>
    </row>
    <row r="47" spans="1:22" s="108" customFormat="1" ht="36" customHeight="1">
      <c r="A47" s="81" t="s">
        <v>90</v>
      </c>
      <c r="B47" s="82" t="s">
        <v>91</v>
      </c>
      <c r="C47" s="83">
        <f>C50+C57</f>
        <v>3900</v>
      </c>
      <c r="D47" s="76">
        <f>D50+D57</f>
        <v>26119</v>
      </c>
      <c r="E47" s="85">
        <f>E48+E50+E57</f>
        <v>23682.1</v>
      </c>
      <c r="F47" s="85">
        <f>F48+F50+F57</f>
        <v>29833.300000000003</v>
      </c>
      <c r="G47" s="85">
        <f>G48+G50+G57</f>
        <v>26302.4</v>
      </c>
      <c r="H47" s="85">
        <f>H48+H50+H57</f>
        <v>23927.5</v>
      </c>
      <c r="I47" s="104">
        <f t="shared" si="1"/>
        <v>0.04386653931142298</v>
      </c>
      <c r="J47" s="104">
        <f t="shared" si="4"/>
        <v>1.2597404790960263</v>
      </c>
      <c r="K47" s="85">
        <f t="shared" si="5"/>
        <v>6151.200000000004</v>
      </c>
      <c r="L47" s="104">
        <f t="shared" si="2"/>
        <v>0.04205643938860954</v>
      </c>
      <c r="M47" s="104">
        <f t="shared" si="6"/>
        <v>0.8816456778163998</v>
      </c>
      <c r="N47" s="85">
        <f t="shared" si="7"/>
        <v>-3530.9000000000015</v>
      </c>
      <c r="O47" s="104">
        <f t="shared" si="3"/>
        <v>0.03723889198596945</v>
      </c>
      <c r="P47" s="104">
        <f t="shared" si="8"/>
        <v>0.9097078593588417</v>
      </c>
      <c r="Q47" s="85">
        <f t="shared" si="9"/>
        <v>-2374.9000000000015</v>
      </c>
      <c r="R47" s="105">
        <f t="shared" si="10"/>
        <v>4.849878481959245</v>
      </c>
      <c r="S47" s="105">
        <f>F47/E47*100</f>
        <v>125.97404790960263</v>
      </c>
      <c r="T47" s="106">
        <v>680092.4</v>
      </c>
      <c r="U47" s="107">
        <v>625407.2</v>
      </c>
      <c r="V47" s="107">
        <v>642540.6</v>
      </c>
    </row>
    <row r="48" spans="1:22" s="112" customFormat="1" ht="36" customHeight="1">
      <c r="A48" s="93" t="s">
        <v>196</v>
      </c>
      <c r="B48" s="5" t="s">
        <v>245</v>
      </c>
      <c r="C48" s="3"/>
      <c r="D48" s="22">
        <f>D49</f>
        <v>0</v>
      </c>
      <c r="E48" s="75">
        <f>E49</f>
        <v>44.6</v>
      </c>
      <c r="F48" s="75">
        <f>F49</f>
        <v>133.9</v>
      </c>
      <c r="G48" s="75">
        <f>G49</f>
        <v>133.9</v>
      </c>
      <c r="H48" s="75">
        <f>H49</f>
        <v>133.9</v>
      </c>
      <c r="I48" s="110">
        <f t="shared" si="1"/>
        <v>0.0001968850115072599</v>
      </c>
      <c r="J48" s="110">
        <f t="shared" si="4"/>
        <v>3.002242152466368</v>
      </c>
      <c r="K48" s="75">
        <f t="shared" si="5"/>
        <v>89.30000000000001</v>
      </c>
      <c r="L48" s="110">
        <f t="shared" si="2"/>
        <v>0.00021410050923622244</v>
      </c>
      <c r="M48" s="110">
        <f t="shared" si="6"/>
        <v>1</v>
      </c>
      <c r="N48" s="75">
        <f t="shared" si="7"/>
        <v>0</v>
      </c>
      <c r="O48" s="110">
        <f t="shared" si="3"/>
        <v>0.0002083915008639143</v>
      </c>
      <c r="P48" s="110">
        <f t="shared" si="8"/>
        <v>1</v>
      </c>
      <c r="Q48" s="75">
        <f t="shared" si="9"/>
        <v>0</v>
      </c>
      <c r="R48" s="111"/>
      <c r="S48" s="111"/>
      <c r="T48" s="113">
        <v>680092.4</v>
      </c>
      <c r="U48" s="114">
        <v>625407.2</v>
      </c>
      <c r="V48" s="114">
        <v>642540.6</v>
      </c>
    </row>
    <row r="49" spans="1:22" ht="60" customHeight="1">
      <c r="A49" s="77"/>
      <c r="B49" s="78" t="s">
        <v>197</v>
      </c>
      <c r="C49" s="79"/>
      <c r="D49" s="21">
        <f>0</f>
        <v>0</v>
      </c>
      <c r="E49" s="80">
        <f>44.6</f>
        <v>44.6</v>
      </c>
      <c r="F49" s="80">
        <v>133.9</v>
      </c>
      <c r="G49" s="80">
        <v>133.9</v>
      </c>
      <c r="H49" s="80">
        <v>133.9</v>
      </c>
      <c r="I49" s="115">
        <f t="shared" si="1"/>
        <v>0.0001968850115072599</v>
      </c>
      <c r="J49" s="115">
        <f t="shared" si="4"/>
        <v>3.002242152466368</v>
      </c>
      <c r="K49" s="80">
        <f t="shared" si="5"/>
        <v>89.30000000000001</v>
      </c>
      <c r="L49" s="115">
        <f t="shared" si="2"/>
        <v>0.00021410050923622244</v>
      </c>
      <c r="M49" s="115">
        <f t="shared" si="6"/>
        <v>1</v>
      </c>
      <c r="N49" s="80">
        <f t="shared" si="7"/>
        <v>0</v>
      </c>
      <c r="O49" s="115">
        <f t="shared" si="3"/>
        <v>0.0002083915008639143</v>
      </c>
      <c r="P49" s="115">
        <f t="shared" si="8"/>
        <v>1</v>
      </c>
      <c r="Q49" s="80">
        <f t="shared" si="9"/>
        <v>0</v>
      </c>
      <c r="R49" s="116"/>
      <c r="S49" s="116"/>
      <c r="T49" s="117">
        <v>680092.4</v>
      </c>
      <c r="U49" s="118">
        <v>625407.2</v>
      </c>
      <c r="V49" s="118">
        <v>642540.6</v>
      </c>
    </row>
    <row r="50" spans="1:22" s="112" customFormat="1" ht="36.75" customHeight="1">
      <c r="A50" s="93" t="s">
        <v>92</v>
      </c>
      <c r="B50" s="41" t="s">
        <v>247</v>
      </c>
      <c r="C50" s="3">
        <f aca="true" t="shared" si="14" ref="C50:H50">SUM(C52:C56)</f>
        <v>3700</v>
      </c>
      <c r="D50" s="22">
        <f t="shared" si="14"/>
        <v>26119</v>
      </c>
      <c r="E50" s="75">
        <f t="shared" si="14"/>
        <v>23137.5</v>
      </c>
      <c r="F50" s="75">
        <f t="shared" si="14"/>
        <v>27984.4</v>
      </c>
      <c r="G50" s="75">
        <f t="shared" si="14"/>
        <v>24953.5</v>
      </c>
      <c r="H50" s="75">
        <f t="shared" si="14"/>
        <v>23078.6</v>
      </c>
      <c r="I50" s="110">
        <f t="shared" si="1"/>
        <v>0.0411479381331125</v>
      </c>
      <c r="J50" s="110">
        <f t="shared" si="4"/>
        <v>1.2094824419232848</v>
      </c>
      <c r="K50" s="75">
        <f t="shared" si="5"/>
        <v>4846.9000000000015</v>
      </c>
      <c r="L50" s="110">
        <f t="shared" si="2"/>
        <v>0.039899604609604754</v>
      </c>
      <c r="M50" s="110">
        <f t="shared" si="6"/>
        <v>0.8916932290847758</v>
      </c>
      <c r="N50" s="75">
        <f t="shared" si="7"/>
        <v>-3030.9000000000015</v>
      </c>
      <c r="O50" s="110">
        <f t="shared" si="3"/>
        <v>0.03591773033486133</v>
      </c>
      <c r="P50" s="110">
        <f t="shared" si="8"/>
        <v>0.9248642475003506</v>
      </c>
      <c r="Q50" s="75">
        <f t="shared" si="9"/>
        <v>-1874.9000000000015</v>
      </c>
      <c r="R50" s="111">
        <f t="shared" si="10"/>
        <v>4.549310313996115</v>
      </c>
      <c r="T50" s="113">
        <v>680092.4</v>
      </c>
      <c r="U50" s="114">
        <v>625407.2</v>
      </c>
      <c r="V50" s="114">
        <v>642540.6</v>
      </c>
    </row>
    <row r="51" spans="1:22" ht="25.5" customHeight="1" hidden="1">
      <c r="A51" s="77"/>
      <c r="B51" s="92" t="s">
        <v>82</v>
      </c>
      <c r="C51" s="79"/>
      <c r="D51" s="21"/>
      <c r="E51" s="80"/>
      <c r="F51" s="80"/>
      <c r="G51" s="80"/>
      <c r="H51" s="80"/>
      <c r="I51" s="115">
        <f t="shared" si="1"/>
        <v>0</v>
      </c>
      <c r="J51" s="115" t="e">
        <f t="shared" si="4"/>
        <v>#DIV/0!</v>
      </c>
      <c r="K51" s="80">
        <f t="shared" si="5"/>
        <v>0</v>
      </c>
      <c r="L51" s="115">
        <f t="shared" si="2"/>
        <v>0</v>
      </c>
      <c r="M51" s="115" t="e">
        <f t="shared" si="6"/>
        <v>#DIV/0!</v>
      </c>
      <c r="N51" s="80">
        <f t="shared" si="7"/>
        <v>0</v>
      </c>
      <c r="O51" s="115">
        <f t="shared" si="3"/>
        <v>0</v>
      </c>
      <c r="P51" s="115" t="e">
        <f t="shared" si="8"/>
        <v>#DIV/0!</v>
      </c>
      <c r="Q51" s="80">
        <f t="shared" si="9"/>
        <v>0</v>
      </c>
      <c r="R51" s="116">
        <f t="shared" si="10"/>
        <v>0</v>
      </c>
      <c r="T51" s="117">
        <v>680092.4</v>
      </c>
      <c r="U51" s="118">
        <v>625407.2</v>
      </c>
      <c r="V51" s="118">
        <v>642540.6</v>
      </c>
    </row>
    <row r="52" spans="1:22" ht="65.25" customHeight="1" hidden="1">
      <c r="A52" s="77"/>
      <c r="B52" s="92" t="s">
        <v>187</v>
      </c>
      <c r="C52" s="79">
        <v>0</v>
      </c>
      <c r="D52" s="21">
        <f>17264</f>
        <v>17264</v>
      </c>
      <c r="E52" s="80">
        <f>0</f>
        <v>0</v>
      </c>
      <c r="F52" s="80">
        <f>0</f>
        <v>0</v>
      </c>
      <c r="G52" s="80">
        <f>0</f>
        <v>0</v>
      </c>
      <c r="H52" s="80">
        <f>0</f>
        <v>0</v>
      </c>
      <c r="I52" s="115">
        <f t="shared" si="1"/>
        <v>0</v>
      </c>
      <c r="J52" s="115" t="e">
        <f t="shared" si="4"/>
        <v>#DIV/0!</v>
      </c>
      <c r="K52" s="80">
        <f t="shared" si="5"/>
        <v>0</v>
      </c>
      <c r="L52" s="115">
        <f t="shared" si="2"/>
        <v>0</v>
      </c>
      <c r="M52" s="115" t="e">
        <f t="shared" si="6"/>
        <v>#DIV/0!</v>
      </c>
      <c r="N52" s="80">
        <f t="shared" si="7"/>
        <v>0</v>
      </c>
      <c r="O52" s="115">
        <f t="shared" si="3"/>
        <v>0</v>
      </c>
      <c r="P52" s="115" t="e">
        <f t="shared" si="8"/>
        <v>#DIV/0!</v>
      </c>
      <c r="Q52" s="80">
        <f t="shared" si="9"/>
        <v>0</v>
      </c>
      <c r="R52" s="116">
        <f t="shared" si="10"/>
        <v>0</v>
      </c>
      <c r="T52" s="117">
        <v>680092.4</v>
      </c>
      <c r="U52" s="118">
        <v>625407.2</v>
      </c>
      <c r="V52" s="118">
        <v>642540.6</v>
      </c>
    </row>
    <row r="53" spans="1:22" ht="108" customHeight="1" hidden="1">
      <c r="A53" s="77"/>
      <c r="B53" s="92" t="s">
        <v>188</v>
      </c>
      <c r="C53" s="79">
        <v>0</v>
      </c>
      <c r="D53" s="21">
        <v>0</v>
      </c>
      <c r="E53" s="80">
        <f>0</f>
        <v>0</v>
      </c>
      <c r="F53" s="80">
        <f>0</f>
        <v>0</v>
      </c>
      <c r="G53" s="80">
        <f>0</f>
        <v>0</v>
      </c>
      <c r="H53" s="80">
        <f>0</f>
        <v>0</v>
      </c>
      <c r="I53" s="115">
        <f t="shared" si="1"/>
        <v>0</v>
      </c>
      <c r="J53" s="115" t="e">
        <f t="shared" si="4"/>
        <v>#DIV/0!</v>
      </c>
      <c r="K53" s="80">
        <f t="shared" si="5"/>
        <v>0</v>
      </c>
      <c r="L53" s="115">
        <f t="shared" si="2"/>
        <v>0</v>
      </c>
      <c r="M53" s="115" t="e">
        <f t="shared" si="6"/>
        <v>#DIV/0!</v>
      </c>
      <c r="N53" s="80">
        <f t="shared" si="7"/>
        <v>0</v>
      </c>
      <c r="O53" s="115">
        <f t="shared" si="3"/>
        <v>0</v>
      </c>
      <c r="P53" s="115" t="e">
        <f t="shared" si="8"/>
        <v>#DIV/0!</v>
      </c>
      <c r="Q53" s="80">
        <f t="shared" si="9"/>
        <v>0</v>
      </c>
      <c r="R53" s="116">
        <f t="shared" si="10"/>
        <v>0</v>
      </c>
      <c r="T53" s="117">
        <v>680092.4</v>
      </c>
      <c r="U53" s="118">
        <v>625407.2</v>
      </c>
      <c r="V53" s="118">
        <v>642540.6</v>
      </c>
    </row>
    <row r="54" spans="1:22" ht="22.5" customHeight="1">
      <c r="A54" s="77"/>
      <c r="B54" s="87" t="s">
        <v>11</v>
      </c>
      <c r="C54" s="79">
        <v>0</v>
      </c>
      <c r="D54" s="21">
        <v>0</v>
      </c>
      <c r="E54" s="80">
        <v>0</v>
      </c>
      <c r="F54" s="80">
        <v>9000</v>
      </c>
      <c r="G54" s="80">
        <v>5000</v>
      </c>
      <c r="H54" s="80">
        <v>2558.8</v>
      </c>
      <c r="I54" s="115">
        <f t="shared" si="1"/>
        <v>0.013233495919083935</v>
      </c>
      <c r="J54" s="115" t="e">
        <f t="shared" si="4"/>
        <v>#DIV/0!</v>
      </c>
      <c r="K54" s="80">
        <f t="shared" si="5"/>
        <v>9000</v>
      </c>
      <c r="L54" s="115">
        <f t="shared" si="2"/>
        <v>0.007994791233615475</v>
      </c>
      <c r="M54" s="115">
        <f t="shared" si="6"/>
        <v>0.5555555555555556</v>
      </c>
      <c r="N54" s="80">
        <f t="shared" si="7"/>
        <v>-4000</v>
      </c>
      <c r="O54" s="115">
        <f t="shared" si="3"/>
        <v>0.003982316448174637</v>
      </c>
      <c r="P54" s="115">
        <f t="shared" si="8"/>
        <v>0.51176</v>
      </c>
      <c r="Q54" s="80">
        <f t="shared" si="9"/>
        <v>-2441.2</v>
      </c>
      <c r="R54" s="116">
        <f t="shared" si="10"/>
        <v>1.4630934672876685</v>
      </c>
      <c r="T54" s="117">
        <v>680092.4</v>
      </c>
      <c r="U54" s="118">
        <v>625407.2</v>
      </c>
      <c r="V54" s="118">
        <v>642540.6</v>
      </c>
    </row>
    <row r="55" spans="1:22" ht="115.5" customHeight="1">
      <c r="A55" s="77"/>
      <c r="B55" s="78" t="s">
        <v>246</v>
      </c>
      <c r="C55" s="79">
        <v>0</v>
      </c>
      <c r="D55" s="21">
        <v>3607.4</v>
      </c>
      <c r="E55" s="80">
        <f>23137.5</f>
        <v>23137.5</v>
      </c>
      <c r="F55" s="80">
        <v>18984.4</v>
      </c>
      <c r="G55" s="80">
        <v>19953.5</v>
      </c>
      <c r="H55" s="80">
        <v>20519.8</v>
      </c>
      <c r="I55" s="115">
        <f t="shared" si="1"/>
        <v>0.027914442214028567</v>
      </c>
      <c r="J55" s="115">
        <f t="shared" si="4"/>
        <v>0.8205035116153431</v>
      </c>
      <c r="K55" s="80">
        <f t="shared" si="5"/>
        <v>-4153.0999999999985</v>
      </c>
      <c r="L55" s="115">
        <f t="shared" si="2"/>
        <v>0.03190481337598928</v>
      </c>
      <c r="M55" s="115">
        <f t="shared" si="6"/>
        <v>1.0510471755757358</v>
      </c>
      <c r="N55" s="80">
        <f t="shared" si="7"/>
        <v>969.0999999999985</v>
      </c>
      <c r="O55" s="115">
        <f t="shared" si="3"/>
        <v>0.03193541388668669</v>
      </c>
      <c r="P55" s="115">
        <f t="shared" si="8"/>
        <v>1.0283809857919664</v>
      </c>
      <c r="Q55" s="80">
        <f t="shared" si="9"/>
        <v>566.2999999999993</v>
      </c>
      <c r="R55" s="116">
        <f t="shared" si="10"/>
        <v>3.0862168467084463</v>
      </c>
      <c r="T55" s="117">
        <v>680092.4</v>
      </c>
      <c r="U55" s="118">
        <v>625407.2</v>
      </c>
      <c r="V55" s="118">
        <v>642540.6</v>
      </c>
    </row>
    <row r="56" spans="1:22" ht="93.75" customHeight="1" hidden="1">
      <c r="A56" s="1"/>
      <c r="B56" s="2" t="s">
        <v>198</v>
      </c>
      <c r="C56" s="3">
        <f>3700</f>
        <v>3700</v>
      </c>
      <c r="D56" s="21">
        <v>5247.6</v>
      </c>
      <c r="E56" s="10">
        <f>0</f>
        <v>0</v>
      </c>
      <c r="F56" s="10">
        <f>0</f>
        <v>0</v>
      </c>
      <c r="G56" s="10">
        <f>0</f>
        <v>0</v>
      </c>
      <c r="H56" s="10">
        <f>0</f>
        <v>0</v>
      </c>
      <c r="I56" s="119">
        <f t="shared" si="1"/>
        <v>0</v>
      </c>
      <c r="J56" s="119" t="e">
        <f t="shared" si="4"/>
        <v>#DIV/0!</v>
      </c>
      <c r="K56" s="10">
        <f t="shared" si="5"/>
        <v>0</v>
      </c>
      <c r="L56" s="119">
        <f t="shared" si="2"/>
        <v>0</v>
      </c>
      <c r="M56" s="119" t="e">
        <f t="shared" si="6"/>
        <v>#DIV/0!</v>
      </c>
      <c r="N56" s="10">
        <f t="shared" si="7"/>
        <v>0</v>
      </c>
      <c r="O56" s="119">
        <f t="shared" si="3"/>
        <v>0</v>
      </c>
      <c r="P56" s="119" t="e">
        <f t="shared" si="8"/>
        <v>#DIV/0!</v>
      </c>
      <c r="Q56" s="10">
        <f t="shared" si="9"/>
        <v>0</v>
      </c>
      <c r="R56" s="120">
        <f t="shared" si="10"/>
        <v>0</v>
      </c>
      <c r="T56" s="117">
        <v>680092.4</v>
      </c>
      <c r="U56" s="118">
        <v>625407.2</v>
      </c>
      <c r="V56" s="118">
        <v>642540.6</v>
      </c>
    </row>
    <row r="57" spans="1:22" s="112" customFormat="1" ht="28.5" customHeight="1">
      <c r="A57" s="93" t="s">
        <v>93</v>
      </c>
      <c r="B57" s="5" t="s">
        <v>248</v>
      </c>
      <c r="C57" s="3">
        <f aca="true" t="shared" si="15" ref="C57:H57">C58+C59+C60</f>
        <v>200</v>
      </c>
      <c r="D57" s="22">
        <f t="shared" si="15"/>
        <v>0</v>
      </c>
      <c r="E57" s="75">
        <f t="shared" si="15"/>
        <v>500</v>
      </c>
      <c r="F57" s="75">
        <f t="shared" si="15"/>
        <v>1715</v>
      </c>
      <c r="G57" s="75">
        <f t="shared" si="15"/>
        <v>1215</v>
      </c>
      <c r="H57" s="75">
        <f t="shared" si="15"/>
        <v>715</v>
      </c>
      <c r="I57" s="110">
        <f t="shared" si="1"/>
        <v>0.0025217161668032164</v>
      </c>
      <c r="J57" s="110">
        <f t="shared" si="4"/>
        <v>3.43</v>
      </c>
      <c r="K57" s="75">
        <f t="shared" si="5"/>
        <v>1215</v>
      </c>
      <c r="L57" s="110">
        <f t="shared" si="2"/>
        <v>0.0019427342697685606</v>
      </c>
      <c r="M57" s="110">
        <f t="shared" si="6"/>
        <v>0.7084548104956269</v>
      </c>
      <c r="N57" s="75">
        <f t="shared" si="7"/>
        <v>-500</v>
      </c>
      <c r="O57" s="110">
        <f t="shared" si="3"/>
        <v>0.0011127701502442024</v>
      </c>
      <c r="P57" s="110">
        <f t="shared" si="8"/>
        <v>0.588477366255144</v>
      </c>
      <c r="Q57" s="75">
        <f t="shared" si="9"/>
        <v>-500</v>
      </c>
      <c r="R57" s="111">
        <f t="shared" si="10"/>
        <v>0.27880058848870576</v>
      </c>
      <c r="T57" s="113">
        <v>680092.4</v>
      </c>
      <c r="U57" s="114">
        <v>625407.2</v>
      </c>
      <c r="V57" s="114">
        <v>642540.6</v>
      </c>
    </row>
    <row r="58" spans="1:22" ht="38.25" customHeight="1">
      <c r="A58" s="77"/>
      <c r="B58" s="78" t="s">
        <v>249</v>
      </c>
      <c r="C58" s="79">
        <f>200</f>
        <v>200</v>
      </c>
      <c r="D58" s="21">
        <v>0</v>
      </c>
      <c r="E58" s="80">
        <f>290</f>
        <v>290</v>
      </c>
      <c r="F58" s="80">
        <v>200</v>
      </c>
      <c r="G58" s="80">
        <v>200</v>
      </c>
      <c r="H58" s="80">
        <v>200</v>
      </c>
      <c r="I58" s="115">
        <f t="shared" si="1"/>
        <v>0.00029407768709075415</v>
      </c>
      <c r="J58" s="115">
        <f t="shared" si="4"/>
        <v>0.6896551724137931</v>
      </c>
      <c r="K58" s="80">
        <f t="shared" si="5"/>
        <v>-90</v>
      </c>
      <c r="L58" s="115">
        <f t="shared" si="2"/>
        <v>0.000319791649344619</v>
      </c>
      <c r="M58" s="115">
        <f t="shared" si="6"/>
        <v>1</v>
      </c>
      <c r="N58" s="80">
        <f t="shared" si="7"/>
        <v>0</v>
      </c>
      <c r="O58" s="115">
        <f t="shared" si="3"/>
        <v>0.000311264377690686</v>
      </c>
      <c r="P58" s="115">
        <f t="shared" si="8"/>
        <v>1</v>
      </c>
      <c r="Q58" s="80">
        <f t="shared" si="9"/>
        <v>0</v>
      </c>
      <c r="R58" s="116">
        <f t="shared" si="10"/>
        <v>0.03251318816194819</v>
      </c>
      <c r="T58" s="117">
        <v>680092.4</v>
      </c>
      <c r="U58" s="118">
        <v>625407.2</v>
      </c>
      <c r="V58" s="118">
        <v>642540.6</v>
      </c>
    </row>
    <row r="59" spans="1:22" ht="18.75" hidden="1">
      <c r="A59" s="77"/>
      <c r="B59" s="78" t="s">
        <v>67</v>
      </c>
      <c r="C59" s="79"/>
      <c r="D59" s="21"/>
      <c r="E59" s="80"/>
      <c r="F59" s="80"/>
      <c r="G59" s="80"/>
      <c r="H59" s="80"/>
      <c r="I59" s="115">
        <f t="shared" si="1"/>
        <v>0</v>
      </c>
      <c r="J59" s="115" t="e">
        <f t="shared" si="4"/>
        <v>#DIV/0!</v>
      </c>
      <c r="K59" s="80">
        <f t="shared" si="5"/>
        <v>0</v>
      </c>
      <c r="L59" s="115">
        <f t="shared" si="2"/>
        <v>0</v>
      </c>
      <c r="M59" s="115" t="e">
        <f t="shared" si="6"/>
        <v>#DIV/0!</v>
      </c>
      <c r="N59" s="80">
        <f t="shared" si="7"/>
        <v>0</v>
      </c>
      <c r="O59" s="115">
        <f t="shared" si="3"/>
        <v>0</v>
      </c>
      <c r="P59" s="115" t="e">
        <f t="shared" si="8"/>
        <v>#DIV/0!</v>
      </c>
      <c r="Q59" s="80">
        <f t="shared" si="9"/>
        <v>0</v>
      </c>
      <c r="R59" s="116">
        <f t="shared" si="10"/>
        <v>0</v>
      </c>
      <c r="T59" s="117">
        <v>680092.4</v>
      </c>
      <c r="U59" s="118">
        <v>625407.2</v>
      </c>
      <c r="V59" s="118">
        <v>642540.6</v>
      </c>
    </row>
    <row r="60" spans="1:22" ht="128.25" customHeight="1">
      <c r="A60" s="77"/>
      <c r="B60" s="78" t="s">
        <v>250</v>
      </c>
      <c r="C60" s="79"/>
      <c r="D60" s="21"/>
      <c r="E60" s="80">
        <f>200+10</f>
        <v>210</v>
      </c>
      <c r="F60" s="80">
        <f>1500+15</f>
        <v>1515</v>
      </c>
      <c r="G60" s="80">
        <f>1000+15</f>
        <v>1015</v>
      </c>
      <c r="H60" s="80">
        <f>500+15</f>
        <v>515</v>
      </c>
      <c r="I60" s="115">
        <f t="shared" si="1"/>
        <v>0.0022276384797124626</v>
      </c>
      <c r="J60" s="115">
        <f t="shared" si="4"/>
        <v>7.214285714285714</v>
      </c>
      <c r="K60" s="80">
        <f t="shared" si="5"/>
        <v>1305</v>
      </c>
      <c r="L60" s="115">
        <f t="shared" si="2"/>
        <v>0.0016229426204239414</v>
      </c>
      <c r="M60" s="115">
        <f t="shared" si="6"/>
        <v>0.66996699669967</v>
      </c>
      <c r="N60" s="80">
        <f t="shared" si="7"/>
        <v>-500</v>
      </c>
      <c r="O60" s="115">
        <f t="shared" si="3"/>
        <v>0.0008015057725535165</v>
      </c>
      <c r="P60" s="115">
        <f t="shared" si="8"/>
        <v>0.5073891625615764</v>
      </c>
      <c r="Q60" s="80">
        <f t="shared" si="9"/>
        <v>-500</v>
      </c>
      <c r="R60" s="116">
        <f t="shared" si="10"/>
        <v>0.24628740032675753</v>
      </c>
      <c r="T60" s="117">
        <v>680092.4</v>
      </c>
      <c r="U60" s="118">
        <v>625407.2</v>
      </c>
      <c r="V60" s="118">
        <v>642540.6</v>
      </c>
    </row>
    <row r="61" spans="1:22" s="108" customFormat="1" ht="32.25" customHeight="1">
      <c r="A61" s="81" t="s">
        <v>94</v>
      </c>
      <c r="B61" s="82" t="s">
        <v>95</v>
      </c>
      <c r="C61" s="83">
        <f aca="true" t="shared" si="16" ref="C61:H61">C62+C65+C70</f>
        <v>50288.9</v>
      </c>
      <c r="D61" s="76">
        <f t="shared" si="16"/>
        <v>5100</v>
      </c>
      <c r="E61" s="85">
        <f t="shared" si="16"/>
        <v>8000</v>
      </c>
      <c r="F61" s="85">
        <f t="shared" si="16"/>
        <v>8900</v>
      </c>
      <c r="G61" s="85">
        <f t="shared" si="16"/>
        <v>7500</v>
      </c>
      <c r="H61" s="85">
        <f t="shared" si="16"/>
        <v>7500</v>
      </c>
      <c r="I61" s="104">
        <f t="shared" si="1"/>
        <v>0.013086457075538559</v>
      </c>
      <c r="J61" s="104">
        <f t="shared" si="4"/>
        <v>1.1125</v>
      </c>
      <c r="K61" s="85">
        <f t="shared" si="5"/>
        <v>900</v>
      </c>
      <c r="L61" s="104">
        <f t="shared" si="2"/>
        <v>0.011992186850423213</v>
      </c>
      <c r="M61" s="104">
        <f t="shared" si="6"/>
        <v>0.8426966292134831</v>
      </c>
      <c r="N61" s="85">
        <f t="shared" si="7"/>
        <v>-1400</v>
      </c>
      <c r="O61" s="104">
        <f t="shared" si="3"/>
        <v>0.011672414163400726</v>
      </c>
      <c r="P61" s="104">
        <f t="shared" si="8"/>
        <v>1</v>
      </c>
      <c r="Q61" s="85">
        <f t="shared" si="9"/>
        <v>0</v>
      </c>
      <c r="R61" s="105">
        <f t="shared" si="10"/>
        <v>1.4468368732066943</v>
      </c>
      <c r="S61" s="105">
        <f>F61/E61*100</f>
        <v>111.25</v>
      </c>
      <c r="T61" s="106">
        <v>680092.4</v>
      </c>
      <c r="U61" s="107">
        <v>625407.2</v>
      </c>
      <c r="V61" s="107">
        <v>642540.6</v>
      </c>
    </row>
    <row r="62" spans="1:22" s="112" customFormat="1" ht="32.25" customHeight="1">
      <c r="A62" s="93" t="s">
        <v>96</v>
      </c>
      <c r="B62" s="5" t="s">
        <v>97</v>
      </c>
      <c r="C62" s="3">
        <f aca="true" t="shared" si="17" ref="C62:H62">C63+C64</f>
        <v>0</v>
      </c>
      <c r="D62" s="22">
        <f t="shared" si="17"/>
        <v>2300</v>
      </c>
      <c r="E62" s="75">
        <f t="shared" si="17"/>
        <v>1800</v>
      </c>
      <c r="F62" s="75">
        <f t="shared" si="17"/>
        <v>1800</v>
      </c>
      <c r="G62" s="75">
        <f t="shared" si="17"/>
        <v>800</v>
      </c>
      <c r="H62" s="75">
        <f t="shared" si="17"/>
        <v>800</v>
      </c>
      <c r="I62" s="110">
        <f t="shared" si="1"/>
        <v>0.002646699183816787</v>
      </c>
      <c r="J62" s="110">
        <f t="shared" si="4"/>
        <v>1</v>
      </c>
      <c r="K62" s="75">
        <f t="shared" si="5"/>
        <v>0</v>
      </c>
      <c r="L62" s="110">
        <f t="shared" si="2"/>
        <v>0.001279166597378476</v>
      </c>
      <c r="M62" s="110">
        <f t="shared" si="6"/>
        <v>0.4444444444444444</v>
      </c>
      <c r="N62" s="75">
        <f t="shared" si="7"/>
        <v>-1000</v>
      </c>
      <c r="O62" s="110">
        <f t="shared" si="3"/>
        <v>0.001245057510762744</v>
      </c>
      <c r="P62" s="110">
        <f t="shared" si="8"/>
        <v>1</v>
      </c>
      <c r="Q62" s="75">
        <f t="shared" si="9"/>
        <v>0</v>
      </c>
      <c r="R62" s="111">
        <f t="shared" si="10"/>
        <v>0.2926186934575337</v>
      </c>
      <c r="T62" s="113">
        <v>680092.4</v>
      </c>
      <c r="U62" s="114">
        <v>625407.2</v>
      </c>
      <c r="V62" s="114">
        <v>642540.6</v>
      </c>
    </row>
    <row r="63" spans="1:22" ht="28.5" customHeight="1">
      <c r="A63" s="77"/>
      <c r="B63" s="78" t="s">
        <v>251</v>
      </c>
      <c r="C63" s="79">
        <v>0</v>
      </c>
      <c r="D63" s="21">
        <f>2300</f>
        <v>2300</v>
      </c>
      <c r="E63" s="80">
        <f>1800</f>
        <v>1800</v>
      </c>
      <c r="F63" s="80">
        <f>1800</f>
        <v>1800</v>
      </c>
      <c r="G63" s="80">
        <f>1800-1000</f>
        <v>800</v>
      </c>
      <c r="H63" s="80">
        <f>1800-1000</f>
        <v>800</v>
      </c>
      <c r="I63" s="115">
        <f t="shared" si="1"/>
        <v>0.002646699183816787</v>
      </c>
      <c r="J63" s="115">
        <f t="shared" si="4"/>
        <v>1</v>
      </c>
      <c r="K63" s="80">
        <f t="shared" si="5"/>
        <v>0</v>
      </c>
      <c r="L63" s="115">
        <f t="shared" si="2"/>
        <v>0.001279166597378476</v>
      </c>
      <c r="M63" s="115">
        <f t="shared" si="6"/>
        <v>0.4444444444444444</v>
      </c>
      <c r="N63" s="80">
        <f t="shared" si="7"/>
        <v>-1000</v>
      </c>
      <c r="O63" s="115">
        <f t="shared" si="3"/>
        <v>0.001245057510762744</v>
      </c>
      <c r="P63" s="115">
        <f t="shared" si="8"/>
        <v>1</v>
      </c>
      <c r="Q63" s="80">
        <f t="shared" si="9"/>
        <v>0</v>
      </c>
      <c r="R63" s="116">
        <f t="shared" si="10"/>
        <v>0.2926186934575337</v>
      </c>
      <c r="T63" s="117">
        <v>680092.4</v>
      </c>
      <c r="U63" s="118">
        <v>625407.2</v>
      </c>
      <c r="V63" s="118">
        <v>642540.6</v>
      </c>
    </row>
    <row r="64" spans="1:22" ht="18.75" hidden="1">
      <c r="A64" s="77"/>
      <c r="B64" s="78" t="s">
        <v>98</v>
      </c>
      <c r="C64" s="79"/>
      <c r="D64" s="21"/>
      <c r="E64" s="80"/>
      <c r="F64" s="80"/>
      <c r="G64" s="80"/>
      <c r="H64" s="80"/>
      <c r="I64" s="115">
        <f t="shared" si="1"/>
        <v>0</v>
      </c>
      <c r="J64" s="115" t="e">
        <f t="shared" si="4"/>
        <v>#DIV/0!</v>
      </c>
      <c r="K64" s="80">
        <f t="shared" si="5"/>
        <v>0</v>
      </c>
      <c r="L64" s="115">
        <f t="shared" si="2"/>
        <v>0</v>
      </c>
      <c r="M64" s="115" t="e">
        <f t="shared" si="6"/>
        <v>#DIV/0!</v>
      </c>
      <c r="N64" s="80">
        <f t="shared" si="7"/>
        <v>0</v>
      </c>
      <c r="O64" s="115">
        <f t="shared" si="3"/>
        <v>0</v>
      </c>
      <c r="P64" s="115" t="e">
        <f t="shared" si="8"/>
        <v>#DIV/0!</v>
      </c>
      <c r="Q64" s="80">
        <f t="shared" si="9"/>
        <v>0</v>
      </c>
      <c r="R64" s="116">
        <f t="shared" si="10"/>
        <v>0</v>
      </c>
      <c r="T64" s="117">
        <v>680092.4</v>
      </c>
      <c r="U64" s="118">
        <v>625407.2</v>
      </c>
      <c r="V64" s="118">
        <v>642540.6</v>
      </c>
    </row>
    <row r="65" spans="1:22" s="112" customFormat="1" ht="23.25" customHeight="1">
      <c r="A65" s="93" t="s">
        <v>99</v>
      </c>
      <c r="B65" s="5" t="s">
        <v>252</v>
      </c>
      <c r="C65" s="3">
        <f aca="true" t="shared" si="18" ref="C65:H65">C66+C67</f>
        <v>50288.9</v>
      </c>
      <c r="D65" s="22">
        <f t="shared" si="18"/>
        <v>2800</v>
      </c>
      <c r="E65" s="75">
        <f t="shared" si="18"/>
        <v>6200</v>
      </c>
      <c r="F65" s="75">
        <f t="shared" si="18"/>
        <v>7100</v>
      </c>
      <c r="G65" s="75">
        <f t="shared" si="18"/>
        <v>6700</v>
      </c>
      <c r="H65" s="75">
        <f t="shared" si="18"/>
        <v>6700</v>
      </c>
      <c r="I65" s="110">
        <f t="shared" si="1"/>
        <v>0.010439757891721772</v>
      </c>
      <c r="J65" s="110">
        <f t="shared" si="4"/>
        <v>1.1451612903225807</v>
      </c>
      <c r="K65" s="75">
        <f t="shared" si="5"/>
        <v>900</v>
      </c>
      <c r="L65" s="110">
        <f t="shared" si="2"/>
        <v>0.010713020253044736</v>
      </c>
      <c r="M65" s="110">
        <f t="shared" si="6"/>
        <v>0.9436619718309859</v>
      </c>
      <c r="N65" s="75">
        <f t="shared" si="7"/>
        <v>-400</v>
      </c>
      <c r="O65" s="110">
        <f t="shared" si="3"/>
        <v>0.010427356652637982</v>
      </c>
      <c r="P65" s="110">
        <f t="shared" si="8"/>
        <v>1</v>
      </c>
      <c r="Q65" s="75">
        <f t="shared" si="9"/>
        <v>0</v>
      </c>
      <c r="R65" s="111">
        <f t="shared" si="10"/>
        <v>1.1542181797491609</v>
      </c>
      <c r="T65" s="113">
        <v>680092.4</v>
      </c>
      <c r="U65" s="114">
        <v>625407.2</v>
      </c>
      <c r="V65" s="114">
        <v>642540.6</v>
      </c>
    </row>
    <row r="66" spans="1:22" ht="123" customHeight="1">
      <c r="A66" s="77"/>
      <c r="B66" s="78" t="s">
        <v>250</v>
      </c>
      <c r="C66" s="79">
        <f>43538.9</f>
        <v>43538.9</v>
      </c>
      <c r="D66" s="21">
        <v>0</v>
      </c>
      <c r="E66" s="80">
        <v>0</v>
      </c>
      <c r="F66" s="80">
        <f>400</f>
        <v>400</v>
      </c>
      <c r="G66" s="80">
        <f>400-400</f>
        <v>0</v>
      </c>
      <c r="H66" s="80">
        <f>400-400</f>
        <v>0</v>
      </c>
      <c r="I66" s="115">
        <f t="shared" si="1"/>
        <v>0.0005881553741815083</v>
      </c>
      <c r="J66" s="115" t="e">
        <f t="shared" si="4"/>
        <v>#DIV/0!</v>
      </c>
      <c r="K66" s="80">
        <f t="shared" si="5"/>
        <v>400</v>
      </c>
      <c r="L66" s="115">
        <f t="shared" si="2"/>
        <v>0</v>
      </c>
      <c r="M66" s="115">
        <f t="shared" si="6"/>
        <v>0</v>
      </c>
      <c r="N66" s="80">
        <f t="shared" si="7"/>
        <v>-400</v>
      </c>
      <c r="O66" s="115">
        <f t="shared" si="3"/>
        <v>0</v>
      </c>
      <c r="P66" s="115" t="e">
        <f t="shared" si="8"/>
        <v>#DIV/0!</v>
      </c>
      <c r="Q66" s="80">
        <f t="shared" si="9"/>
        <v>0</v>
      </c>
      <c r="R66" s="116">
        <f t="shared" si="10"/>
        <v>0.06502637632389638</v>
      </c>
      <c r="T66" s="117">
        <v>680092.4</v>
      </c>
      <c r="U66" s="118">
        <v>625407.2</v>
      </c>
      <c r="V66" s="118">
        <v>642540.6</v>
      </c>
    </row>
    <row r="67" spans="1:22" ht="114" customHeight="1">
      <c r="A67" s="77"/>
      <c r="B67" s="78" t="s">
        <v>253</v>
      </c>
      <c r="C67" s="79">
        <v>6750</v>
      </c>
      <c r="D67" s="21">
        <f>2800</f>
        <v>2800</v>
      </c>
      <c r="E67" s="80">
        <f>6200</f>
        <v>6200</v>
      </c>
      <c r="F67" s="80">
        <v>6700</v>
      </c>
      <c r="G67" s="80">
        <v>6700</v>
      </c>
      <c r="H67" s="80">
        <v>6700</v>
      </c>
      <c r="I67" s="115">
        <f t="shared" si="1"/>
        <v>0.009851602517540263</v>
      </c>
      <c r="J67" s="115">
        <f t="shared" si="4"/>
        <v>1.0806451612903225</v>
      </c>
      <c r="K67" s="80">
        <f t="shared" si="5"/>
        <v>500</v>
      </c>
      <c r="L67" s="115">
        <f t="shared" si="2"/>
        <v>0.010713020253044736</v>
      </c>
      <c r="M67" s="115">
        <f t="shared" si="6"/>
        <v>1</v>
      </c>
      <c r="N67" s="80">
        <f t="shared" si="7"/>
        <v>0</v>
      </c>
      <c r="O67" s="115">
        <f t="shared" si="3"/>
        <v>0.010427356652637982</v>
      </c>
      <c r="P67" s="115">
        <f t="shared" si="8"/>
        <v>1</v>
      </c>
      <c r="Q67" s="80">
        <f t="shared" si="9"/>
        <v>0</v>
      </c>
      <c r="R67" s="116">
        <f t="shared" si="10"/>
        <v>1.0891918034252646</v>
      </c>
      <c r="T67" s="117">
        <v>680092.4</v>
      </c>
      <c r="U67" s="118">
        <v>625407.2</v>
      </c>
      <c r="V67" s="118">
        <v>642540.6</v>
      </c>
    </row>
    <row r="68" spans="1:22" ht="75.75" customHeight="1" hidden="1">
      <c r="A68" s="77"/>
      <c r="B68" s="78" t="s">
        <v>100</v>
      </c>
      <c r="C68" s="79">
        <v>1000</v>
      </c>
      <c r="D68" s="21">
        <v>0</v>
      </c>
      <c r="E68" s="80">
        <v>0</v>
      </c>
      <c r="F68" s="80">
        <v>0</v>
      </c>
      <c r="G68" s="80">
        <v>0</v>
      </c>
      <c r="H68" s="80">
        <v>0</v>
      </c>
      <c r="I68" s="115">
        <f t="shared" si="1"/>
        <v>0</v>
      </c>
      <c r="J68" s="115" t="e">
        <f t="shared" si="4"/>
        <v>#DIV/0!</v>
      </c>
      <c r="K68" s="80">
        <f t="shared" si="5"/>
        <v>0</v>
      </c>
      <c r="L68" s="115">
        <f t="shared" si="2"/>
        <v>0</v>
      </c>
      <c r="M68" s="115" t="e">
        <f t="shared" si="6"/>
        <v>#DIV/0!</v>
      </c>
      <c r="N68" s="80">
        <f t="shared" si="7"/>
        <v>0</v>
      </c>
      <c r="O68" s="115">
        <f t="shared" si="3"/>
        <v>0</v>
      </c>
      <c r="P68" s="115" t="e">
        <f t="shared" si="8"/>
        <v>#DIV/0!</v>
      </c>
      <c r="Q68" s="80">
        <f t="shared" si="9"/>
        <v>0</v>
      </c>
      <c r="R68" s="116">
        <f t="shared" si="10"/>
        <v>0</v>
      </c>
      <c r="T68" s="117">
        <v>680092.4</v>
      </c>
      <c r="U68" s="118">
        <v>625407.2</v>
      </c>
      <c r="V68" s="118">
        <v>642540.6</v>
      </c>
    </row>
    <row r="69" spans="1:22" ht="69.75" customHeight="1">
      <c r="A69" s="77"/>
      <c r="B69" s="78" t="s">
        <v>101</v>
      </c>
      <c r="C69" s="79">
        <v>2700</v>
      </c>
      <c r="D69" s="21">
        <v>2800</v>
      </c>
      <c r="E69" s="80">
        <f>6200</f>
        <v>6200</v>
      </c>
      <c r="F69" s="80">
        <v>6700</v>
      </c>
      <c r="G69" s="80">
        <v>6700</v>
      </c>
      <c r="H69" s="80">
        <v>6700</v>
      </c>
      <c r="I69" s="115">
        <f t="shared" si="1"/>
        <v>0.009851602517540263</v>
      </c>
      <c r="J69" s="115">
        <f t="shared" si="4"/>
        <v>1.0806451612903225</v>
      </c>
      <c r="K69" s="80">
        <f t="shared" si="5"/>
        <v>500</v>
      </c>
      <c r="L69" s="115">
        <f t="shared" si="2"/>
        <v>0.010713020253044736</v>
      </c>
      <c r="M69" s="115">
        <f t="shared" si="6"/>
        <v>1</v>
      </c>
      <c r="N69" s="80">
        <f t="shared" si="7"/>
        <v>0</v>
      </c>
      <c r="O69" s="115">
        <f t="shared" si="3"/>
        <v>0.010427356652637982</v>
      </c>
      <c r="P69" s="115">
        <f t="shared" si="8"/>
        <v>1</v>
      </c>
      <c r="Q69" s="80">
        <f t="shared" si="9"/>
        <v>0</v>
      </c>
      <c r="R69" s="116">
        <f t="shared" si="10"/>
        <v>1.0891918034252646</v>
      </c>
      <c r="T69" s="117">
        <v>680092.4</v>
      </c>
      <c r="U69" s="118">
        <v>625407.2</v>
      </c>
      <c r="V69" s="118">
        <v>642540.6</v>
      </c>
    </row>
    <row r="70" spans="1:22" ht="33" customHeight="1" hidden="1">
      <c r="A70" s="1" t="s">
        <v>102</v>
      </c>
      <c r="B70" s="2" t="s">
        <v>103</v>
      </c>
      <c r="C70" s="3">
        <f aca="true" t="shared" si="19" ref="C70:H70">C71+C72+C73+C74+C75+C76</f>
        <v>0</v>
      </c>
      <c r="D70" s="21">
        <f t="shared" si="19"/>
        <v>0</v>
      </c>
      <c r="E70" s="10">
        <f t="shared" si="19"/>
        <v>0</v>
      </c>
      <c r="F70" s="10">
        <f t="shared" si="19"/>
        <v>0</v>
      </c>
      <c r="G70" s="10">
        <f t="shared" si="19"/>
        <v>0</v>
      </c>
      <c r="H70" s="10">
        <f t="shared" si="19"/>
        <v>0</v>
      </c>
      <c r="I70" s="119">
        <f t="shared" si="1"/>
        <v>0</v>
      </c>
      <c r="J70" s="119" t="e">
        <f t="shared" si="4"/>
        <v>#DIV/0!</v>
      </c>
      <c r="K70" s="10">
        <f t="shared" si="5"/>
        <v>0</v>
      </c>
      <c r="L70" s="119">
        <f t="shared" si="2"/>
        <v>0</v>
      </c>
      <c r="M70" s="119" t="e">
        <f t="shared" si="6"/>
        <v>#DIV/0!</v>
      </c>
      <c r="N70" s="10">
        <f t="shared" si="7"/>
        <v>0</v>
      </c>
      <c r="O70" s="119">
        <f t="shared" si="3"/>
        <v>0</v>
      </c>
      <c r="P70" s="119" t="e">
        <f t="shared" si="8"/>
        <v>#DIV/0!</v>
      </c>
      <c r="Q70" s="10">
        <f t="shared" si="9"/>
        <v>0</v>
      </c>
      <c r="R70" s="120">
        <f t="shared" si="10"/>
        <v>0</v>
      </c>
      <c r="T70" s="117">
        <v>680092.4</v>
      </c>
      <c r="U70" s="118">
        <v>625407.2</v>
      </c>
      <c r="V70" s="118">
        <v>642540.6</v>
      </c>
    </row>
    <row r="71" spans="1:22" ht="52.5" customHeight="1" hidden="1">
      <c r="A71" s="1"/>
      <c r="B71" s="2" t="s">
        <v>104</v>
      </c>
      <c r="C71" s="3">
        <v>0</v>
      </c>
      <c r="D71" s="21">
        <v>0</v>
      </c>
      <c r="E71" s="10">
        <v>0</v>
      </c>
      <c r="F71" s="10">
        <v>0</v>
      </c>
      <c r="G71" s="10">
        <v>0</v>
      </c>
      <c r="H71" s="10">
        <v>0</v>
      </c>
      <c r="I71" s="119">
        <f aca="true" t="shared" si="20" ref="I71:I134">F71/T71</f>
        <v>0</v>
      </c>
      <c r="J71" s="119" t="e">
        <f t="shared" si="4"/>
        <v>#DIV/0!</v>
      </c>
      <c r="K71" s="10">
        <f t="shared" si="5"/>
        <v>0</v>
      </c>
      <c r="L71" s="119">
        <f aca="true" t="shared" si="21" ref="L71:L134">G71/U71</f>
        <v>0</v>
      </c>
      <c r="M71" s="119" t="e">
        <f t="shared" si="6"/>
        <v>#DIV/0!</v>
      </c>
      <c r="N71" s="10">
        <f t="shared" si="7"/>
        <v>0</v>
      </c>
      <c r="O71" s="119">
        <f aca="true" t="shared" si="22" ref="O71:O134">H71/V71</f>
        <v>0</v>
      </c>
      <c r="P71" s="119" t="e">
        <f t="shared" si="8"/>
        <v>#DIV/0!</v>
      </c>
      <c r="Q71" s="10">
        <f t="shared" si="9"/>
        <v>0</v>
      </c>
      <c r="R71" s="120">
        <f t="shared" si="10"/>
        <v>0</v>
      </c>
      <c r="T71" s="117">
        <v>680092.4</v>
      </c>
      <c r="U71" s="118">
        <v>625407.2</v>
      </c>
      <c r="V71" s="118">
        <v>642540.6</v>
      </c>
    </row>
    <row r="72" spans="1:22" ht="19.5" hidden="1">
      <c r="A72" s="1"/>
      <c r="B72" s="2" t="s">
        <v>105</v>
      </c>
      <c r="C72" s="3"/>
      <c r="D72" s="21"/>
      <c r="E72" s="10"/>
      <c r="F72" s="10"/>
      <c r="G72" s="10"/>
      <c r="H72" s="10"/>
      <c r="I72" s="119">
        <f t="shared" si="20"/>
        <v>0</v>
      </c>
      <c r="J72" s="119" t="e">
        <f t="shared" si="4"/>
        <v>#DIV/0!</v>
      </c>
      <c r="K72" s="10">
        <f t="shared" si="5"/>
        <v>0</v>
      </c>
      <c r="L72" s="119">
        <f t="shared" si="21"/>
        <v>0</v>
      </c>
      <c r="M72" s="119" t="e">
        <f t="shared" si="6"/>
        <v>#DIV/0!</v>
      </c>
      <c r="N72" s="10">
        <f t="shared" si="7"/>
        <v>0</v>
      </c>
      <c r="O72" s="119">
        <f t="shared" si="22"/>
        <v>0</v>
      </c>
      <c r="P72" s="119" t="e">
        <f t="shared" si="8"/>
        <v>#DIV/0!</v>
      </c>
      <c r="Q72" s="10">
        <f t="shared" si="9"/>
        <v>0</v>
      </c>
      <c r="R72" s="120">
        <f t="shared" si="10"/>
        <v>0</v>
      </c>
      <c r="T72" s="117">
        <v>680092.4</v>
      </c>
      <c r="U72" s="118">
        <v>625407.2</v>
      </c>
      <c r="V72" s="118">
        <v>642540.6</v>
      </c>
    </row>
    <row r="73" spans="1:22" ht="19.5" hidden="1">
      <c r="A73" s="1"/>
      <c r="B73" s="2" t="s">
        <v>106</v>
      </c>
      <c r="C73" s="3"/>
      <c r="D73" s="21"/>
      <c r="E73" s="10"/>
      <c r="F73" s="10"/>
      <c r="G73" s="10"/>
      <c r="H73" s="10"/>
      <c r="I73" s="119">
        <f t="shared" si="20"/>
        <v>0</v>
      </c>
      <c r="J73" s="119" t="e">
        <f t="shared" si="4"/>
        <v>#DIV/0!</v>
      </c>
      <c r="K73" s="10">
        <f t="shared" si="5"/>
        <v>0</v>
      </c>
      <c r="L73" s="119">
        <f t="shared" si="21"/>
        <v>0</v>
      </c>
      <c r="M73" s="119" t="e">
        <f t="shared" si="6"/>
        <v>#DIV/0!</v>
      </c>
      <c r="N73" s="10">
        <f t="shared" si="7"/>
        <v>0</v>
      </c>
      <c r="O73" s="119">
        <f t="shared" si="22"/>
        <v>0</v>
      </c>
      <c r="P73" s="119" t="e">
        <f t="shared" si="8"/>
        <v>#DIV/0!</v>
      </c>
      <c r="Q73" s="10">
        <f t="shared" si="9"/>
        <v>0</v>
      </c>
      <c r="R73" s="120">
        <f t="shared" si="10"/>
        <v>0</v>
      </c>
      <c r="T73" s="117">
        <v>680092.4</v>
      </c>
      <c r="U73" s="118">
        <v>625407.2</v>
      </c>
      <c r="V73" s="118">
        <v>642540.6</v>
      </c>
    </row>
    <row r="74" spans="1:22" ht="19.5" hidden="1">
      <c r="A74" s="1"/>
      <c r="B74" s="2" t="s">
        <v>107</v>
      </c>
      <c r="C74" s="3"/>
      <c r="D74" s="21"/>
      <c r="E74" s="10"/>
      <c r="F74" s="10"/>
      <c r="G74" s="10"/>
      <c r="H74" s="10"/>
      <c r="I74" s="119">
        <f t="shared" si="20"/>
        <v>0</v>
      </c>
      <c r="J74" s="119" t="e">
        <f aca="true" t="shared" si="23" ref="J74:J140">F74/E74</f>
        <v>#DIV/0!</v>
      </c>
      <c r="K74" s="10">
        <f aca="true" t="shared" si="24" ref="K74:K140">F74-E74</f>
        <v>0</v>
      </c>
      <c r="L74" s="119">
        <f t="shared" si="21"/>
        <v>0</v>
      </c>
      <c r="M74" s="119" t="e">
        <f aca="true" t="shared" si="25" ref="M74:M140">G74/F74</f>
        <v>#DIV/0!</v>
      </c>
      <c r="N74" s="10">
        <f aca="true" t="shared" si="26" ref="N74:N140">G74-F74</f>
        <v>0</v>
      </c>
      <c r="O74" s="119">
        <f t="shared" si="22"/>
        <v>0</v>
      </c>
      <c r="P74" s="119" t="e">
        <f aca="true" t="shared" si="27" ref="P74:P140">H74/G74</f>
        <v>#DIV/0!</v>
      </c>
      <c r="Q74" s="10">
        <f aca="true" t="shared" si="28" ref="Q74:Q140">H74-G74</f>
        <v>0</v>
      </c>
      <c r="R74" s="120">
        <f t="shared" si="10"/>
        <v>0</v>
      </c>
      <c r="T74" s="117">
        <v>680092.4</v>
      </c>
      <c r="U74" s="118">
        <v>625407.2</v>
      </c>
      <c r="V74" s="118">
        <v>642540.6</v>
      </c>
    </row>
    <row r="75" spans="1:22" ht="48" customHeight="1" hidden="1">
      <c r="A75" s="1"/>
      <c r="B75" s="2" t="s">
        <v>108</v>
      </c>
      <c r="C75" s="3">
        <v>0</v>
      </c>
      <c r="D75" s="21">
        <v>0</v>
      </c>
      <c r="E75" s="10">
        <v>0</v>
      </c>
      <c r="F75" s="10">
        <v>0</v>
      </c>
      <c r="G75" s="10">
        <v>0</v>
      </c>
      <c r="H75" s="10">
        <v>0</v>
      </c>
      <c r="I75" s="119">
        <f t="shared" si="20"/>
        <v>0</v>
      </c>
      <c r="J75" s="119" t="e">
        <f t="shared" si="23"/>
        <v>#DIV/0!</v>
      </c>
      <c r="K75" s="10">
        <f t="shared" si="24"/>
        <v>0</v>
      </c>
      <c r="L75" s="119">
        <f t="shared" si="21"/>
        <v>0</v>
      </c>
      <c r="M75" s="119" t="e">
        <f t="shared" si="25"/>
        <v>#DIV/0!</v>
      </c>
      <c r="N75" s="10">
        <f t="shared" si="26"/>
        <v>0</v>
      </c>
      <c r="O75" s="119">
        <f t="shared" si="22"/>
        <v>0</v>
      </c>
      <c r="P75" s="119" t="e">
        <f t="shared" si="27"/>
        <v>#DIV/0!</v>
      </c>
      <c r="Q75" s="10">
        <f t="shared" si="28"/>
        <v>0</v>
      </c>
      <c r="R75" s="120">
        <f t="shared" si="10"/>
        <v>0</v>
      </c>
      <c r="T75" s="117">
        <v>680092.4</v>
      </c>
      <c r="U75" s="118">
        <v>625407.2</v>
      </c>
      <c r="V75" s="118">
        <v>642540.6</v>
      </c>
    </row>
    <row r="76" spans="1:22" ht="69.75" customHeight="1" hidden="1">
      <c r="A76" s="1"/>
      <c r="B76" s="2" t="s">
        <v>109</v>
      </c>
      <c r="C76" s="3">
        <v>0</v>
      </c>
      <c r="D76" s="21">
        <v>0</v>
      </c>
      <c r="E76" s="10">
        <v>0</v>
      </c>
      <c r="F76" s="10">
        <v>0</v>
      </c>
      <c r="G76" s="10">
        <v>0</v>
      </c>
      <c r="H76" s="10">
        <v>0</v>
      </c>
      <c r="I76" s="119">
        <f t="shared" si="20"/>
        <v>0</v>
      </c>
      <c r="J76" s="119" t="e">
        <f t="shared" si="23"/>
        <v>#DIV/0!</v>
      </c>
      <c r="K76" s="10">
        <f t="shared" si="24"/>
        <v>0</v>
      </c>
      <c r="L76" s="119">
        <f t="shared" si="21"/>
        <v>0</v>
      </c>
      <c r="M76" s="119" t="e">
        <f t="shared" si="25"/>
        <v>#DIV/0!</v>
      </c>
      <c r="N76" s="10">
        <f t="shared" si="26"/>
        <v>0</v>
      </c>
      <c r="O76" s="119">
        <f t="shared" si="22"/>
        <v>0</v>
      </c>
      <c r="P76" s="119" t="e">
        <f t="shared" si="27"/>
        <v>#DIV/0!</v>
      </c>
      <c r="Q76" s="10">
        <f t="shared" si="28"/>
        <v>0</v>
      </c>
      <c r="R76" s="120">
        <f aca="true" t="shared" si="29" ref="R76:R142">F76/615135*100</f>
        <v>0</v>
      </c>
      <c r="T76" s="117">
        <v>680092.4</v>
      </c>
      <c r="U76" s="118">
        <v>625407.2</v>
      </c>
      <c r="V76" s="118">
        <v>642540.6</v>
      </c>
    </row>
    <row r="77" spans="1:22" ht="34.5" customHeight="1" hidden="1">
      <c r="A77" s="1" t="s">
        <v>110</v>
      </c>
      <c r="B77" s="2" t="s">
        <v>111</v>
      </c>
      <c r="C77" s="3"/>
      <c r="D77" s="21"/>
      <c r="E77" s="10"/>
      <c r="F77" s="10"/>
      <c r="G77" s="10"/>
      <c r="H77" s="10"/>
      <c r="I77" s="119">
        <f t="shared" si="20"/>
        <v>0</v>
      </c>
      <c r="J77" s="119" t="e">
        <f t="shared" si="23"/>
        <v>#DIV/0!</v>
      </c>
      <c r="K77" s="10">
        <f t="shared" si="24"/>
        <v>0</v>
      </c>
      <c r="L77" s="119">
        <f t="shared" si="21"/>
        <v>0</v>
      </c>
      <c r="M77" s="119" t="e">
        <f t="shared" si="25"/>
        <v>#DIV/0!</v>
      </c>
      <c r="N77" s="10">
        <f t="shared" si="26"/>
        <v>0</v>
      </c>
      <c r="O77" s="119">
        <f t="shared" si="22"/>
        <v>0</v>
      </c>
      <c r="P77" s="119" t="e">
        <f t="shared" si="27"/>
        <v>#DIV/0!</v>
      </c>
      <c r="Q77" s="10">
        <f t="shared" si="28"/>
        <v>0</v>
      </c>
      <c r="R77" s="120">
        <f t="shared" si="29"/>
        <v>0</v>
      </c>
      <c r="T77" s="117">
        <v>680092.4</v>
      </c>
      <c r="U77" s="118">
        <v>625407.2</v>
      </c>
      <c r="V77" s="118">
        <v>642540.6</v>
      </c>
    </row>
    <row r="78" spans="1:22" ht="34.5" customHeight="1" hidden="1">
      <c r="A78" s="1" t="s">
        <v>112</v>
      </c>
      <c r="B78" s="2" t="s">
        <v>113</v>
      </c>
      <c r="C78" s="3"/>
      <c r="D78" s="21"/>
      <c r="E78" s="10"/>
      <c r="F78" s="10"/>
      <c r="G78" s="10"/>
      <c r="H78" s="10"/>
      <c r="I78" s="119">
        <f t="shared" si="20"/>
        <v>0</v>
      </c>
      <c r="J78" s="119" t="e">
        <f t="shared" si="23"/>
        <v>#DIV/0!</v>
      </c>
      <c r="K78" s="10">
        <f t="shared" si="24"/>
        <v>0</v>
      </c>
      <c r="L78" s="119">
        <f t="shared" si="21"/>
        <v>0</v>
      </c>
      <c r="M78" s="119" t="e">
        <f t="shared" si="25"/>
        <v>#DIV/0!</v>
      </c>
      <c r="N78" s="10">
        <f t="shared" si="26"/>
        <v>0</v>
      </c>
      <c r="O78" s="119">
        <f t="shared" si="22"/>
        <v>0</v>
      </c>
      <c r="P78" s="119" t="e">
        <f t="shared" si="27"/>
        <v>#DIV/0!</v>
      </c>
      <c r="Q78" s="10">
        <f t="shared" si="28"/>
        <v>0</v>
      </c>
      <c r="R78" s="120">
        <f t="shared" si="29"/>
        <v>0</v>
      </c>
      <c r="T78" s="117">
        <v>680092.4</v>
      </c>
      <c r="U78" s="118">
        <v>625407.2</v>
      </c>
      <c r="V78" s="118">
        <v>642540.6</v>
      </c>
    </row>
    <row r="79" spans="1:22" s="108" customFormat="1" ht="35.25" customHeight="1">
      <c r="A79" s="81" t="s">
        <v>114</v>
      </c>
      <c r="B79" s="82" t="s">
        <v>254</v>
      </c>
      <c r="C79" s="83">
        <f>C84+C85+C98+C102+C109</f>
        <v>370123.60000000003</v>
      </c>
      <c r="D79" s="76">
        <f>D84+D85+D98+D102+D109</f>
        <v>454369.89999999997</v>
      </c>
      <c r="E79" s="85">
        <f>E84+E85+E90+E98+E102+E109</f>
        <v>453154</v>
      </c>
      <c r="F79" s="85">
        <f>F84+F85+F90+F98+F102+F109</f>
        <v>468051.9</v>
      </c>
      <c r="G79" s="85">
        <f>G84+G85+G90+G98+G102+G109</f>
        <v>456363.4</v>
      </c>
      <c r="H79" s="85">
        <f>H84+H85+H90+H98+H102+H109</f>
        <v>469378.1</v>
      </c>
      <c r="I79" s="104">
        <f t="shared" si="20"/>
        <v>0.6882181009521647</v>
      </c>
      <c r="J79" s="104">
        <f t="shared" si="23"/>
        <v>1.0328760200726463</v>
      </c>
      <c r="K79" s="85">
        <f t="shared" si="24"/>
        <v>14897.900000000023</v>
      </c>
      <c r="L79" s="104">
        <f t="shared" si="21"/>
        <v>0.7297060219325906</v>
      </c>
      <c r="M79" s="104">
        <f t="shared" si="25"/>
        <v>0.9750273420533064</v>
      </c>
      <c r="N79" s="85">
        <f t="shared" si="26"/>
        <v>-11688.5</v>
      </c>
      <c r="O79" s="104">
        <f t="shared" si="22"/>
        <v>0.7305034109906829</v>
      </c>
      <c r="P79" s="104">
        <f t="shared" si="27"/>
        <v>1.0285182817026957</v>
      </c>
      <c r="Q79" s="85">
        <f t="shared" si="28"/>
        <v>13014.699999999953</v>
      </c>
      <c r="R79" s="105">
        <f t="shared" si="29"/>
        <v>76.0892974712868</v>
      </c>
      <c r="S79" s="105">
        <f>F79/E79*100</f>
        <v>103.28760200726464</v>
      </c>
      <c r="T79" s="106">
        <v>680092.4</v>
      </c>
      <c r="U79" s="107">
        <v>625407.2</v>
      </c>
      <c r="V79" s="107">
        <v>642540.6</v>
      </c>
    </row>
    <row r="80" spans="1:22" s="28" customFormat="1" ht="22.5" customHeight="1" hidden="1">
      <c r="A80" s="1"/>
      <c r="B80" s="2" t="s">
        <v>115</v>
      </c>
      <c r="C80" s="3"/>
      <c r="D80" s="21"/>
      <c r="E80" s="10"/>
      <c r="F80" s="10"/>
      <c r="G80" s="10"/>
      <c r="H80" s="10"/>
      <c r="I80" s="119">
        <f t="shared" si="20"/>
        <v>0</v>
      </c>
      <c r="J80" s="119" t="e">
        <f t="shared" si="23"/>
        <v>#DIV/0!</v>
      </c>
      <c r="K80" s="10">
        <f t="shared" si="24"/>
        <v>0</v>
      </c>
      <c r="L80" s="119">
        <f t="shared" si="21"/>
        <v>0</v>
      </c>
      <c r="M80" s="119" t="e">
        <f t="shared" si="25"/>
        <v>#DIV/0!</v>
      </c>
      <c r="N80" s="10">
        <f t="shared" si="26"/>
        <v>0</v>
      </c>
      <c r="O80" s="119">
        <f t="shared" si="22"/>
        <v>0</v>
      </c>
      <c r="P80" s="119" t="e">
        <f t="shared" si="27"/>
        <v>#DIV/0!</v>
      </c>
      <c r="Q80" s="10">
        <f t="shared" si="28"/>
        <v>0</v>
      </c>
      <c r="R80" s="120">
        <f t="shared" si="29"/>
        <v>0</v>
      </c>
      <c r="T80" s="117">
        <v>680092.4</v>
      </c>
      <c r="U80" s="118">
        <v>625407.2</v>
      </c>
      <c r="V80" s="118">
        <v>642540.6</v>
      </c>
    </row>
    <row r="81" spans="1:22" s="28" customFormat="1" ht="22.5" customHeight="1" hidden="1">
      <c r="A81" s="1"/>
      <c r="B81" s="2" t="s">
        <v>116</v>
      </c>
      <c r="C81" s="3"/>
      <c r="D81" s="21"/>
      <c r="E81" s="10"/>
      <c r="F81" s="10"/>
      <c r="G81" s="10"/>
      <c r="H81" s="10"/>
      <c r="I81" s="119">
        <f t="shared" si="20"/>
        <v>0</v>
      </c>
      <c r="J81" s="119" t="e">
        <f t="shared" si="23"/>
        <v>#DIV/0!</v>
      </c>
      <c r="K81" s="10">
        <f t="shared" si="24"/>
        <v>0</v>
      </c>
      <c r="L81" s="119">
        <f t="shared" si="21"/>
        <v>0</v>
      </c>
      <c r="M81" s="119" t="e">
        <f t="shared" si="25"/>
        <v>#DIV/0!</v>
      </c>
      <c r="N81" s="10">
        <f t="shared" si="26"/>
        <v>0</v>
      </c>
      <c r="O81" s="119">
        <f t="shared" si="22"/>
        <v>0</v>
      </c>
      <c r="P81" s="119" t="e">
        <f t="shared" si="27"/>
        <v>#DIV/0!</v>
      </c>
      <c r="Q81" s="10">
        <f t="shared" si="28"/>
        <v>0</v>
      </c>
      <c r="R81" s="120">
        <f t="shared" si="29"/>
        <v>0</v>
      </c>
      <c r="T81" s="117">
        <v>680092.4</v>
      </c>
      <c r="U81" s="118">
        <v>625407.2</v>
      </c>
      <c r="V81" s="118">
        <v>642540.6</v>
      </c>
    </row>
    <row r="82" spans="1:22" s="28" customFormat="1" ht="22.5" customHeight="1" hidden="1">
      <c r="A82" s="1"/>
      <c r="B82" s="2" t="s">
        <v>117</v>
      </c>
      <c r="C82" s="3"/>
      <c r="D82" s="21"/>
      <c r="E82" s="10"/>
      <c r="F82" s="10"/>
      <c r="G82" s="10"/>
      <c r="H82" s="10"/>
      <c r="I82" s="119">
        <f t="shared" si="20"/>
        <v>0</v>
      </c>
      <c r="J82" s="119" t="e">
        <f t="shared" si="23"/>
        <v>#DIV/0!</v>
      </c>
      <c r="K82" s="10">
        <f t="shared" si="24"/>
        <v>0</v>
      </c>
      <c r="L82" s="119">
        <f t="shared" si="21"/>
        <v>0</v>
      </c>
      <c r="M82" s="119" t="e">
        <f t="shared" si="25"/>
        <v>#DIV/0!</v>
      </c>
      <c r="N82" s="10">
        <f t="shared" si="26"/>
        <v>0</v>
      </c>
      <c r="O82" s="119">
        <f t="shared" si="22"/>
        <v>0</v>
      </c>
      <c r="P82" s="119" t="e">
        <f t="shared" si="27"/>
        <v>#DIV/0!</v>
      </c>
      <c r="Q82" s="10">
        <f t="shared" si="28"/>
        <v>0</v>
      </c>
      <c r="R82" s="120">
        <f t="shared" si="29"/>
        <v>0</v>
      </c>
      <c r="T82" s="117">
        <v>680092.4</v>
      </c>
      <c r="U82" s="118">
        <v>625407.2</v>
      </c>
      <c r="V82" s="118">
        <v>642540.6</v>
      </c>
    </row>
    <row r="83" spans="1:22" s="28" customFormat="1" ht="22.5" customHeight="1" hidden="1">
      <c r="A83" s="1"/>
      <c r="B83" s="2" t="s">
        <v>118</v>
      </c>
      <c r="C83" s="3"/>
      <c r="D83" s="21"/>
      <c r="E83" s="10"/>
      <c r="F83" s="10"/>
      <c r="G83" s="10"/>
      <c r="H83" s="10"/>
      <c r="I83" s="119">
        <f t="shared" si="20"/>
        <v>0</v>
      </c>
      <c r="J83" s="119" t="e">
        <f t="shared" si="23"/>
        <v>#DIV/0!</v>
      </c>
      <c r="K83" s="10">
        <f t="shared" si="24"/>
        <v>0</v>
      </c>
      <c r="L83" s="119">
        <f t="shared" si="21"/>
        <v>0</v>
      </c>
      <c r="M83" s="119" t="e">
        <f t="shared" si="25"/>
        <v>#DIV/0!</v>
      </c>
      <c r="N83" s="10">
        <f t="shared" si="26"/>
        <v>0</v>
      </c>
      <c r="O83" s="119">
        <f t="shared" si="22"/>
        <v>0</v>
      </c>
      <c r="P83" s="119" t="e">
        <f t="shared" si="27"/>
        <v>#DIV/0!</v>
      </c>
      <c r="Q83" s="10">
        <f t="shared" si="28"/>
        <v>0</v>
      </c>
      <c r="R83" s="120">
        <f t="shared" si="29"/>
        <v>0</v>
      </c>
      <c r="T83" s="117">
        <v>680092.4</v>
      </c>
      <c r="U83" s="118">
        <v>625407.2</v>
      </c>
      <c r="V83" s="118">
        <v>642540.6</v>
      </c>
    </row>
    <row r="84" spans="1:22" s="112" customFormat="1" ht="37.5" customHeight="1">
      <c r="A84" s="93" t="s">
        <v>119</v>
      </c>
      <c r="B84" s="5" t="s">
        <v>8</v>
      </c>
      <c r="C84" s="3">
        <v>96272</v>
      </c>
      <c r="D84" s="22">
        <v>136020</v>
      </c>
      <c r="E84" s="75">
        <f>135445.9</f>
        <v>135445.9</v>
      </c>
      <c r="F84" s="75">
        <f>140839.7</f>
        <v>140839.7</v>
      </c>
      <c r="G84" s="75">
        <f>142928.6-1000</f>
        <v>141928.6</v>
      </c>
      <c r="H84" s="75">
        <f>149560.8-1600-1500</f>
        <v>146460.8</v>
      </c>
      <c r="I84" s="110">
        <f t="shared" si="20"/>
        <v>0.20708906613277844</v>
      </c>
      <c r="J84" s="110">
        <f t="shared" si="23"/>
        <v>1.0398225416937685</v>
      </c>
      <c r="K84" s="75">
        <f t="shared" si="24"/>
        <v>5393.8000000000175</v>
      </c>
      <c r="L84" s="110">
        <f t="shared" si="21"/>
        <v>0.22693790541586348</v>
      </c>
      <c r="M84" s="110">
        <f t="shared" si="25"/>
        <v>1.0077314848015155</v>
      </c>
      <c r="N84" s="75">
        <f t="shared" si="26"/>
        <v>1088.8999999999942</v>
      </c>
      <c r="O84" s="110">
        <f t="shared" si="22"/>
        <v>0.22794014884040012</v>
      </c>
      <c r="P84" s="110">
        <f t="shared" si="27"/>
        <v>1.0319329578393641</v>
      </c>
      <c r="Q84" s="75">
        <f t="shared" si="28"/>
        <v>4532.1999999999825</v>
      </c>
      <c r="R84" s="111">
        <f t="shared" si="29"/>
        <v>22.895738333861672</v>
      </c>
      <c r="T84" s="113">
        <v>680092.4</v>
      </c>
      <c r="U84" s="114">
        <v>625407.2</v>
      </c>
      <c r="V84" s="114">
        <v>642540.6</v>
      </c>
    </row>
    <row r="85" spans="1:22" s="112" customFormat="1" ht="27" customHeight="1">
      <c r="A85" s="93" t="s">
        <v>120</v>
      </c>
      <c r="B85" s="5" t="s">
        <v>255</v>
      </c>
      <c r="C85" s="3">
        <f>C87+C93+C94+C97</f>
        <v>249320.80000000002</v>
      </c>
      <c r="D85" s="22">
        <f>D87+D93+D94+D97</f>
        <v>294912.5</v>
      </c>
      <c r="E85" s="75">
        <f>E87</f>
        <v>270754.8</v>
      </c>
      <c r="F85" s="75">
        <f>F87</f>
        <v>270594.3</v>
      </c>
      <c r="G85" s="75">
        <f>G87</f>
        <v>264452.8</v>
      </c>
      <c r="H85" s="75">
        <f>H87</f>
        <v>272160.6</v>
      </c>
      <c r="I85" s="110">
        <f t="shared" si="20"/>
        <v>0.39787872941970825</v>
      </c>
      <c r="J85" s="110">
        <f t="shared" si="23"/>
        <v>0.9994072127253145</v>
      </c>
      <c r="K85" s="75">
        <f t="shared" si="24"/>
        <v>-160.5</v>
      </c>
      <c r="L85" s="110">
        <f t="shared" si="21"/>
        <v>0.4228489854290133</v>
      </c>
      <c r="M85" s="110">
        <f t="shared" si="25"/>
        <v>0.9773036608679488</v>
      </c>
      <c r="N85" s="75">
        <f t="shared" si="26"/>
        <v>-6141.5</v>
      </c>
      <c r="O85" s="110">
        <f t="shared" si="22"/>
        <v>0.42356949895461854</v>
      </c>
      <c r="P85" s="110">
        <f t="shared" si="27"/>
        <v>1.0291462219345002</v>
      </c>
      <c r="Q85" s="75">
        <f t="shared" si="28"/>
        <v>7707.799999999988</v>
      </c>
      <c r="R85" s="111">
        <f t="shared" si="29"/>
        <v>43.98941695725328</v>
      </c>
      <c r="T85" s="113">
        <v>680092.4</v>
      </c>
      <c r="U85" s="114">
        <v>625407.2</v>
      </c>
      <c r="V85" s="114">
        <v>642540.6</v>
      </c>
    </row>
    <row r="86" spans="1:22" ht="18" customHeight="1" hidden="1">
      <c r="A86" s="77"/>
      <c r="B86" s="78" t="s">
        <v>121</v>
      </c>
      <c r="C86" s="79"/>
      <c r="D86" s="21"/>
      <c r="E86" s="80"/>
      <c r="F86" s="80"/>
      <c r="G86" s="80"/>
      <c r="H86" s="80"/>
      <c r="I86" s="115">
        <f t="shared" si="20"/>
        <v>0</v>
      </c>
      <c r="J86" s="115" t="e">
        <f t="shared" si="23"/>
        <v>#DIV/0!</v>
      </c>
      <c r="K86" s="80">
        <f t="shared" si="24"/>
        <v>0</v>
      </c>
      <c r="L86" s="115">
        <f t="shared" si="21"/>
        <v>0</v>
      </c>
      <c r="M86" s="115" t="e">
        <f t="shared" si="25"/>
        <v>#DIV/0!</v>
      </c>
      <c r="N86" s="80">
        <f t="shared" si="26"/>
        <v>0</v>
      </c>
      <c r="O86" s="115">
        <f t="shared" si="22"/>
        <v>0</v>
      </c>
      <c r="P86" s="115" t="e">
        <f t="shared" si="27"/>
        <v>#DIV/0!</v>
      </c>
      <c r="Q86" s="80">
        <f t="shared" si="28"/>
        <v>0</v>
      </c>
      <c r="R86" s="116">
        <f t="shared" si="29"/>
        <v>0</v>
      </c>
      <c r="T86" s="117">
        <v>680092.4</v>
      </c>
      <c r="U86" s="118">
        <v>625407.2</v>
      </c>
      <c r="V86" s="118">
        <v>642540.6</v>
      </c>
    </row>
    <row r="87" spans="1:22" ht="33" customHeight="1">
      <c r="A87" s="77" t="s">
        <v>120</v>
      </c>
      <c r="B87" s="78" t="s">
        <v>256</v>
      </c>
      <c r="C87" s="79">
        <v>236269.2</v>
      </c>
      <c r="D87" s="21">
        <v>284105.9</v>
      </c>
      <c r="E87" s="80">
        <f>281754.3-10999.5</f>
        <v>270754.8</v>
      </c>
      <c r="F87" s="80">
        <f>270594.3</f>
        <v>270594.3</v>
      </c>
      <c r="G87" s="80">
        <f>265952.8-1000-500</f>
        <v>264452.8</v>
      </c>
      <c r="H87" s="80">
        <f>274260.6-1500-600</f>
        <v>272160.6</v>
      </c>
      <c r="I87" s="115">
        <f t="shared" si="20"/>
        <v>0.39787872941970825</v>
      </c>
      <c r="J87" s="115">
        <f t="shared" si="23"/>
        <v>0.9994072127253145</v>
      </c>
      <c r="K87" s="80">
        <f t="shared" si="24"/>
        <v>-160.5</v>
      </c>
      <c r="L87" s="115">
        <f t="shared" si="21"/>
        <v>0.4228489854290133</v>
      </c>
      <c r="M87" s="115">
        <f t="shared" si="25"/>
        <v>0.9773036608679488</v>
      </c>
      <c r="N87" s="80">
        <f t="shared" si="26"/>
        <v>-6141.5</v>
      </c>
      <c r="O87" s="115">
        <f t="shared" si="22"/>
        <v>0.42356949895461854</v>
      </c>
      <c r="P87" s="115">
        <f t="shared" si="27"/>
        <v>1.0291462219345002</v>
      </c>
      <c r="Q87" s="80">
        <f t="shared" si="28"/>
        <v>7707.799999999988</v>
      </c>
      <c r="R87" s="116">
        <f t="shared" si="29"/>
        <v>43.98941695725328</v>
      </c>
      <c r="T87" s="117">
        <v>680092.4</v>
      </c>
      <c r="U87" s="118">
        <v>625407.2</v>
      </c>
      <c r="V87" s="118">
        <v>642540.6</v>
      </c>
    </row>
    <row r="88" spans="1:22" ht="30" customHeight="1">
      <c r="A88" s="77"/>
      <c r="B88" s="88" t="s">
        <v>189</v>
      </c>
      <c r="C88" s="79"/>
      <c r="D88" s="21">
        <f>1588+63.8</f>
        <v>1651.8</v>
      </c>
      <c r="E88" s="20">
        <f>2107.8</f>
        <v>2107.8</v>
      </c>
      <c r="F88" s="20">
        <f>2440.9</f>
        <v>2440.9</v>
      </c>
      <c r="G88" s="20">
        <f>2440.9</f>
        <v>2440.9</v>
      </c>
      <c r="H88" s="20">
        <f>2440.9</f>
        <v>2440.9</v>
      </c>
      <c r="I88" s="115">
        <f t="shared" si="20"/>
        <v>0.003589071132099109</v>
      </c>
      <c r="J88" s="115">
        <f t="shared" si="23"/>
        <v>1.1580320713540184</v>
      </c>
      <c r="K88" s="80">
        <f t="shared" si="24"/>
        <v>333.0999999999999</v>
      </c>
      <c r="L88" s="115">
        <f t="shared" si="21"/>
        <v>0.0039028971844264028</v>
      </c>
      <c r="M88" s="115">
        <f t="shared" si="25"/>
        <v>1</v>
      </c>
      <c r="N88" s="80">
        <f t="shared" si="26"/>
        <v>0</v>
      </c>
      <c r="O88" s="115">
        <f t="shared" si="22"/>
        <v>0.0037988260975259777</v>
      </c>
      <c r="P88" s="115">
        <f t="shared" si="27"/>
        <v>1</v>
      </c>
      <c r="Q88" s="80">
        <f t="shared" si="28"/>
        <v>0</v>
      </c>
      <c r="R88" s="116">
        <f t="shared" si="29"/>
        <v>0.39680720492249677</v>
      </c>
      <c r="T88" s="117">
        <v>680092.4</v>
      </c>
      <c r="U88" s="118">
        <v>625407.2</v>
      </c>
      <c r="V88" s="118">
        <v>642540.6</v>
      </c>
    </row>
    <row r="89" spans="1:22" ht="27" customHeight="1" hidden="1">
      <c r="A89" s="77"/>
      <c r="B89" s="88"/>
      <c r="C89" s="79"/>
      <c r="D89" s="21"/>
      <c r="E89" s="20"/>
      <c r="F89" s="20"/>
      <c r="G89" s="20"/>
      <c r="H89" s="20"/>
      <c r="I89" s="115">
        <f t="shared" si="20"/>
        <v>0</v>
      </c>
      <c r="J89" s="115" t="e">
        <f t="shared" si="23"/>
        <v>#DIV/0!</v>
      </c>
      <c r="K89" s="80">
        <f t="shared" si="24"/>
        <v>0</v>
      </c>
      <c r="L89" s="115">
        <f t="shared" si="21"/>
        <v>0</v>
      </c>
      <c r="M89" s="115" t="e">
        <f t="shared" si="25"/>
        <v>#DIV/0!</v>
      </c>
      <c r="N89" s="80">
        <f t="shared" si="26"/>
        <v>0</v>
      </c>
      <c r="O89" s="115">
        <f t="shared" si="22"/>
        <v>0</v>
      </c>
      <c r="P89" s="115" t="e">
        <f t="shared" si="27"/>
        <v>#DIV/0!</v>
      </c>
      <c r="Q89" s="80">
        <f t="shared" si="28"/>
        <v>0</v>
      </c>
      <c r="R89" s="116">
        <f t="shared" si="29"/>
        <v>0</v>
      </c>
      <c r="T89" s="117">
        <v>680092.4</v>
      </c>
      <c r="U89" s="118">
        <v>625407.2</v>
      </c>
      <c r="V89" s="118">
        <v>642540.6</v>
      </c>
    </row>
    <row r="90" spans="1:22" s="112" customFormat="1" ht="27" customHeight="1">
      <c r="A90" s="93" t="s">
        <v>236</v>
      </c>
      <c r="B90" s="5" t="s">
        <v>257</v>
      </c>
      <c r="C90" s="3"/>
      <c r="D90" s="22"/>
      <c r="E90" s="75">
        <f>E91+E93+E94</f>
        <v>21602.4</v>
      </c>
      <c r="F90" s="75">
        <f>F91+F93+F94</f>
        <v>30074.9</v>
      </c>
      <c r="G90" s="75">
        <f>G91+G93+G94</f>
        <v>22721.4</v>
      </c>
      <c r="H90" s="75">
        <f>H91+H93+H94</f>
        <v>22921.4</v>
      </c>
      <c r="I90" s="110" t="e">
        <f t="shared" si="20"/>
        <v>#DIV/0!</v>
      </c>
      <c r="J90" s="110">
        <f t="shared" si="23"/>
        <v>1.3922017923934378</v>
      </c>
      <c r="K90" s="75">
        <f t="shared" si="24"/>
        <v>8472.5</v>
      </c>
      <c r="L90" s="110" t="e">
        <f t="shared" si="21"/>
        <v>#DIV/0!</v>
      </c>
      <c r="M90" s="110">
        <f t="shared" si="25"/>
        <v>0.7554937838529804</v>
      </c>
      <c r="N90" s="75">
        <f t="shared" si="26"/>
        <v>-7353.5</v>
      </c>
      <c r="O90" s="110" t="e">
        <f t="shared" si="22"/>
        <v>#DIV/0!</v>
      </c>
      <c r="P90" s="110">
        <f t="shared" si="27"/>
        <v>1.0088022745077327</v>
      </c>
      <c r="Q90" s="75">
        <f t="shared" si="28"/>
        <v>200</v>
      </c>
      <c r="R90" s="111"/>
      <c r="T90" s="113"/>
      <c r="U90" s="114"/>
      <c r="V90" s="114"/>
    </row>
    <row r="91" spans="1:22" ht="27" customHeight="1">
      <c r="A91" s="77" t="s">
        <v>236</v>
      </c>
      <c r="B91" s="78" t="s">
        <v>256</v>
      </c>
      <c r="C91" s="79"/>
      <c r="D91" s="21"/>
      <c r="E91" s="20">
        <f>10999.5</f>
        <v>10999.5</v>
      </c>
      <c r="F91" s="20">
        <f>13020.3</f>
        <v>13020.3</v>
      </c>
      <c r="G91" s="20">
        <f>11812.4-300</f>
        <v>11512.4</v>
      </c>
      <c r="H91" s="20">
        <f>12312.4-700</f>
        <v>11612.4</v>
      </c>
      <c r="I91" s="115" t="e">
        <f t="shared" si="20"/>
        <v>#DIV/0!</v>
      </c>
      <c r="J91" s="115">
        <f t="shared" si="23"/>
        <v>1.1837174417018954</v>
      </c>
      <c r="K91" s="80">
        <f t="shared" si="24"/>
        <v>2020.7999999999993</v>
      </c>
      <c r="L91" s="115" t="e">
        <f t="shared" si="21"/>
        <v>#DIV/0!</v>
      </c>
      <c r="M91" s="115">
        <f t="shared" si="25"/>
        <v>0.8841885363624494</v>
      </c>
      <c r="N91" s="80">
        <f t="shared" si="26"/>
        <v>-1507.8999999999996</v>
      </c>
      <c r="O91" s="115" t="e">
        <f t="shared" si="22"/>
        <v>#DIV/0!</v>
      </c>
      <c r="P91" s="115">
        <f t="shared" si="27"/>
        <v>1.0086862860915187</v>
      </c>
      <c r="Q91" s="80">
        <f t="shared" si="28"/>
        <v>100</v>
      </c>
      <c r="R91" s="116"/>
      <c r="T91" s="117"/>
      <c r="U91" s="118"/>
      <c r="V91" s="118"/>
    </row>
    <row r="92" spans="1:22" ht="25.5" customHeight="1">
      <c r="A92" s="77"/>
      <c r="B92" s="88" t="s">
        <v>189</v>
      </c>
      <c r="C92" s="79"/>
      <c r="D92" s="21"/>
      <c r="E92" s="20">
        <v>15.6</v>
      </c>
      <c r="F92" s="20">
        <v>12.4</v>
      </c>
      <c r="G92" s="20">
        <v>12.4</v>
      </c>
      <c r="H92" s="20">
        <v>12.4</v>
      </c>
      <c r="I92" s="115" t="e">
        <f t="shared" si="20"/>
        <v>#DIV/0!</v>
      </c>
      <c r="J92" s="115">
        <f t="shared" si="23"/>
        <v>0.7948717948717949</v>
      </c>
      <c r="K92" s="80">
        <f t="shared" si="24"/>
        <v>-3.1999999999999993</v>
      </c>
      <c r="L92" s="115" t="e">
        <f t="shared" si="21"/>
        <v>#DIV/0!</v>
      </c>
      <c r="M92" s="115">
        <f t="shared" si="25"/>
        <v>1</v>
      </c>
      <c r="N92" s="80">
        <f t="shared" si="26"/>
        <v>0</v>
      </c>
      <c r="O92" s="115" t="e">
        <f t="shared" si="22"/>
        <v>#DIV/0!</v>
      </c>
      <c r="P92" s="115">
        <f t="shared" si="27"/>
        <v>1</v>
      </c>
      <c r="Q92" s="80">
        <f t="shared" si="28"/>
        <v>0</v>
      </c>
      <c r="R92" s="116"/>
      <c r="T92" s="117"/>
      <c r="U92" s="118"/>
      <c r="V92" s="118"/>
    </row>
    <row r="93" spans="1:22" ht="19.5" customHeight="1">
      <c r="A93" s="77" t="s">
        <v>236</v>
      </c>
      <c r="B93" s="78" t="s">
        <v>122</v>
      </c>
      <c r="C93" s="79"/>
      <c r="D93" s="21"/>
      <c r="E93" s="80">
        <v>0</v>
      </c>
      <c r="F93" s="80">
        <v>4535.5</v>
      </c>
      <c r="G93" s="80">
        <v>0</v>
      </c>
      <c r="H93" s="80">
        <v>0</v>
      </c>
      <c r="I93" s="115">
        <f t="shared" si="20"/>
        <v>0.006668946749000577</v>
      </c>
      <c r="J93" s="115" t="e">
        <f t="shared" si="23"/>
        <v>#DIV/0!</v>
      </c>
      <c r="K93" s="80">
        <f t="shared" si="24"/>
        <v>4535.5</v>
      </c>
      <c r="L93" s="115">
        <f t="shared" si="21"/>
        <v>0</v>
      </c>
      <c r="M93" s="115">
        <f t="shared" si="25"/>
        <v>0</v>
      </c>
      <c r="N93" s="80">
        <f t="shared" si="26"/>
        <v>-4535.5</v>
      </c>
      <c r="O93" s="115">
        <f t="shared" si="22"/>
        <v>0</v>
      </c>
      <c r="P93" s="115" t="e">
        <f t="shared" si="27"/>
        <v>#DIV/0!</v>
      </c>
      <c r="Q93" s="80">
        <f t="shared" si="28"/>
        <v>0</v>
      </c>
      <c r="R93" s="116">
        <f t="shared" si="29"/>
        <v>0.7373178245425801</v>
      </c>
      <c r="T93" s="117">
        <v>680092.4</v>
      </c>
      <c r="U93" s="118">
        <v>625407.2</v>
      </c>
      <c r="V93" s="118">
        <v>642540.6</v>
      </c>
    </row>
    <row r="94" spans="1:22" ht="24" customHeight="1">
      <c r="A94" s="77" t="s">
        <v>236</v>
      </c>
      <c r="B94" s="78" t="s">
        <v>258</v>
      </c>
      <c r="C94" s="79">
        <v>10947.9</v>
      </c>
      <c r="D94" s="21">
        <f>10806.6</f>
        <v>10806.6</v>
      </c>
      <c r="E94" s="80">
        <f>10602.9</f>
        <v>10602.9</v>
      </c>
      <c r="F94" s="80">
        <v>12519.1</v>
      </c>
      <c r="G94" s="80">
        <f>11509-300</f>
        <v>11209</v>
      </c>
      <c r="H94" s="80">
        <f>12009-700</f>
        <v>11309</v>
      </c>
      <c r="I94" s="115">
        <f t="shared" si="20"/>
        <v>0.0184079398622893</v>
      </c>
      <c r="J94" s="115">
        <f t="shared" si="23"/>
        <v>1.1807241415084553</v>
      </c>
      <c r="K94" s="80">
        <f t="shared" si="24"/>
        <v>1916.2000000000007</v>
      </c>
      <c r="L94" s="115">
        <f t="shared" si="21"/>
        <v>0.017922722987519173</v>
      </c>
      <c r="M94" s="115">
        <f t="shared" si="25"/>
        <v>0.8953519022932959</v>
      </c>
      <c r="N94" s="80">
        <f t="shared" si="26"/>
        <v>-1310.1000000000004</v>
      </c>
      <c r="O94" s="115">
        <f t="shared" si="22"/>
        <v>0.01760044423651984</v>
      </c>
      <c r="P94" s="115">
        <f t="shared" si="27"/>
        <v>1.0089214024444644</v>
      </c>
      <c r="Q94" s="80">
        <f t="shared" si="28"/>
        <v>100</v>
      </c>
      <c r="R94" s="116">
        <f t="shared" si="29"/>
        <v>2.035179269591228</v>
      </c>
      <c r="T94" s="117">
        <v>680092.4</v>
      </c>
      <c r="U94" s="118">
        <v>625407.2</v>
      </c>
      <c r="V94" s="118">
        <v>642540.6</v>
      </c>
    </row>
    <row r="95" spans="1:22" ht="24" customHeight="1">
      <c r="A95" s="77"/>
      <c r="B95" s="88" t="s">
        <v>189</v>
      </c>
      <c r="C95" s="79"/>
      <c r="D95" s="21">
        <f>5+1</f>
        <v>6</v>
      </c>
      <c r="E95" s="20">
        <f>10</f>
        <v>10</v>
      </c>
      <c r="F95" s="20">
        <v>9</v>
      </c>
      <c r="G95" s="20">
        <v>9</v>
      </c>
      <c r="H95" s="20">
        <v>9</v>
      </c>
      <c r="I95" s="115">
        <f t="shared" si="20"/>
        <v>1.3233495919083936E-05</v>
      </c>
      <c r="J95" s="115">
        <f t="shared" si="23"/>
        <v>0.9</v>
      </c>
      <c r="K95" s="80">
        <f t="shared" si="24"/>
        <v>-1</v>
      </c>
      <c r="L95" s="115">
        <f t="shared" si="21"/>
        <v>1.4390624220507856E-05</v>
      </c>
      <c r="M95" s="115">
        <f t="shared" si="25"/>
        <v>1</v>
      </c>
      <c r="N95" s="80">
        <f t="shared" si="26"/>
        <v>0</v>
      </c>
      <c r="O95" s="115">
        <f t="shared" si="22"/>
        <v>1.4006896996080872E-05</v>
      </c>
      <c r="P95" s="115">
        <f t="shared" si="27"/>
        <v>1</v>
      </c>
      <c r="Q95" s="80">
        <f t="shared" si="28"/>
        <v>0</v>
      </c>
      <c r="R95" s="116">
        <f t="shared" si="29"/>
        <v>0.0014630934672876686</v>
      </c>
      <c r="T95" s="117">
        <v>680092.4</v>
      </c>
      <c r="U95" s="118">
        <v>625407.2</v>
      </c>
      <c r="V95" s="118">
        <v>642540.6</v>
      </c>
    </row>
    <row r="96" spans="1:22" ht="24" customHeight="1" hidden="1">
      <c r="A96" s="77"/>
      <c r="B96" s="88"/>
      <c r="C96" s="79"/>
      <c r="D96" s="21"/>
      <c r="E96" s="20"/>
      <c r="F96" s="20"/>
      <c r="G96" s="20"/>
      <c r="H96" s="20"/>
      <c r="I96" s="115">
        <f t="shared" si="20"/>
        <v>0</v>
      </c>
      <c r="J96" s="115" t="e">
        <f t="shared" si="23"/>
        <v>#DIV/0!</v>
      </c>
      <c r="K96" s="80">
        <f t="shared" si="24"/>
        <v>0</v>
      </c>
      <c r="L96" s="115">
        <f t="shared" si="21"/>
        <v>0</v>
      </c>
      <c r="M96" s="115" t="e">
        <f t="shared" si="25"/>
        <v>#DIV/0!</v>
      </c>
      <c r="N96" s="80">
        <f t="shared" si="26"/>
        <v>0</v>
      </c>
      <c r="O96" s="115">
        <f t="shared" si="22"/>
        <v>0</v>
      </c>
      <c r="P96" s="115" t="e">
        <f t="shared" si="27"/>
        <v>#DIV/0!</v>
      </c>
      <c r="Q96" s="80">
        <f t="shared" si="28"/>
        <v>0</v>
      </c>
      <c r="R96" s="116">
        <f t="shared" si="29"/>
        <v>0</v>
      </c>
      <c r="T96" s="117">
        <v>680092.4</v>
      </c>
      <c r="U96" s="118">
        <v>625407.2</v>
      </c>
      <c r="V96" s="118">
        <v>642540.6</v>
      </c>
    </row>
    <row r="97" spans="1:22" ht="82.5" customHeight="1" hidden="1">
      <c r="A97" s="77"/>
      <c r="B97" s="78" t="s">
        <v>123</v>
      </c>
      <c r="C97" s="79">
        <v>2103.7</v>
      </c>
      <c r="D97" s="21">
        <v>0</v>
      </c>
      <c r="E97" s="80">
        <v>0</v>
      </c>
      <c r="F97" s="80">
        <v>0</v>
      </c>
      <c r="G97" s="80">
        <v>0</v>
      </c>
      <c r="H97" s="80">
        <v>0</v>
      </c>
      <c r="I97" s="115">
        <f t="shared" si="20"/>
        <v>0</v>
      </c>
      <c r="J97" s="115" t="e">
        <f t="shared" si="23"/>
        <v>#DIV/0!</v>
      </c>
      <c r="K97" s="80">
        <f t="shared" si="24"/>
        <v>0</v>
      </c>
      <c r="L97" s="115">
        <f t="shared" si="21"/>
        <v>0</v>
      </c>
      <c r="M97" s="115" t="e">
        <f t="shared" si="25"/>
        <v>#DIV/0!</v>
      </c>
      <c r="N97" s="80">
        <f t="shared" si="26"/>
        <v>0</v>
      </c>
      <c r="O97" s="115">
        <f t="shared" si="22"/>
        <v>0</v>
      </c>
      <c r="P97" s="115" t="e">
        <f t="shared" si="27"/>
        <v>#DIV/0!</v>
      </c>
      <c r="Q97" s="80">
        <f t="shared" si="28"/>
        <v>0</v>
      </c>
      <c r="R97" s="116">
        <f t="shared" si="29"/>
        <v>0</v>
      </c>
      <c r="T97" s="117">
        <v>680092.4</v>
      </c>
      <c r="U97" s="118">
        <v>625407.2</v>
      </c>
      <c r="V97" s="118">
        <v>642540.6</v>
      </c>
    </row>
    <row r="98" spans="1:22" ht="18.75" hidden="1">
      <c r="A98" s="77" t="s">
        <v>124</v>
      </c>
      <c r="B98" s="78" t="s">
        <v>125</v>
      </c>
      <c r="C98" s="79">
        <f>300</f>
        <v>300</v>
      </c>
      <c r="D98" s="21">
        <v>0</v>
      </c>
      <c r="E98" s="80">
        <v>0</v>
      </c>
      <c r="F98" s="80">
        <v>0</v>
      </c>
      <c r="G98" s="80">
        <v>0</v>
      </c>
      <c r="H98" s="80">
        <v>0</v>
      </c>
      <c r="I98" s="115">
        <f t="shared" si="20"/>
        <v>0</v>
      </c>
      <c r="J98" s="115" t="e">
        <f t="shared" si="23"/>
        <v>#DIV/0!</v>
      </c>
      <c r="K98" s="80">
        <f t="shared" si="24"/>
        <v>0</v>
      </c>
      <c r="L98" s="115">
        <f t="shared" si="21"/>
        <v>0</v>
      </c>
      <c r="M98" s="115" t="e">
        <f t="shared" si="25"/>
        <v>#DIV/0!</v>
      </c>
      <c r="N98" s="80">
        <f t="shared" si="26"/>
        <v>0</v>
      </c>
      <c r="O98" s="115">
        <f t="shared" si="22"/>
        <v>0</v>
      </c>
      <c r="P98" s="115" t="e">
        <f t="shared" si="27"/>
        <v>#DIV/0!</v>
      </c>
      <c r="Q98" s="80">
        <f t="shared" si="28"/>
        <v>0</v>
      </c>
      <c r="R98" s="116">
        <f t="shared" si="29"/>
        <v>0</v>
      </c>
      <c r="T98" s="117">
        <v>680092.4</v>
      </c>
      <c r="U98" s="118">
        <v>625407.2</v>
      </c>
      <c r="V98" s="118">
        <v>642540.6</v>
      </c>
    </row>
    <row r="99" spans="1:22" ht="18.75" hidden="1">
      <c r="A99" s="77"/>
      <c r="B99" s="78" t="s">
        <v>121</v>
      </c>
      <c r="C99" s="79"/>
      <c r="D99" s="21"/>
      <c r="E99" s="80"/>
      <c r="F99" s="80"/>
      <c r="G99" s="80"/>
      <c r="H99" s="80"/>
      <c r="I99" s="115">
        <f t="shared" si="20"/>
        <v>0</v>
      </c>
      <c r="J99" s="115" t="e">
        <f t="shared" si="23"/>
        <v>#DIV/0!</v>
      </c>
      <c r="K99" s="80">
        <f t="shared" si="24"/>
        <v>0</v>
      </c>
      <c r="L99" s="115">
        <f t="shared" si="21"/>
        <v>0</v>
      </c>
      <c r="M99" s="115" t="e">
        <f t="shared" si="25"/>
        <v>#DIV/0!</v>
      </c>
      <c r="N99" s="80">
        <f t="shared" si="26"/>
        <v>0</v>
      </c>
      <c r="O99" s="115">
        <f t="shared" si="22"/>
        <v>0</v>
      </c>
      <c r="P99" s="115" t="e">
        <f t="shared" si="27"/>
        <v>#DIV/0!</v>
      </c>
      <c r="Q99" s="80">
        <f t="shared" si="28"/>
        <v>0</v>
      </c>
      <c r="R99" s="116">
        <f t="shared" si="29"/>
        <v>0</v>
      </c>
      <c r="T99" s="117">
        <v>680092.4</v>
      </c>
      <c r="U99" s="118">
        <v>625407.2</v>
      </c>
      <c r="V99" s="118">
        <v>642540.6</v>
      </c>
    </row>
    <row r="100" spans="1:22" ht="18.75" hidden="1">
      <c r="A100" s="77"/>
      <c r="B100" s="78" t="s">
        <v>126</v>
      </c>
      <c r="C100" s="79"/>
      <c r="D100" s="21"/>
      <c r="E100" s="80"/>
      <c r="F100" s="80"/>
      <c r="G100" s="80"/>
      <c r="H100" s="80"/>
      <c r="I100" s="115">
        <f t="shared" si="20"/>
        <v>0</v>
      </c>
      <c r="J100" s="115" t="e">
        <f t="shared" si="23"/>
        <v>#DIV/0!</v>
      </c>
      <c r="K100" s="80">
        <f t="shared" si="24"/>
        <v>0</v>
      </c>
      <c r="L100" s="115">
        <f t="shared" si="21"/>
        <v>0</v>
      </c>
      <c r="M100" s="115" t="e">
        <f t="shared" si="25"/>
        <v>#DIV/0!</v>
      </c>
      <c r="N100" s="80">
        <f t="shared" si="26"/>
        <v>0</v>
      </c>
      <c r="O100" s="115">
        <f t="shared" si="22"/>
        <v>0</v>
      </c>
      <c r="P100" s="115" t="e">
        <f t="shared" si="27"/>
        <v>#DIV/0!</v>
      </c>
      <c r="Q100" s="80">
        <f t="shared" si="28"/>
        <v>0</v>
      </c>
      <c r="R100" s="116">
        <f t="shared" si="29"/>
        <v>0</v>
      </c>
      <c r="T100" s="117">
        <v>680092.4</v>
      </c>
      <c r="U100" s="118">
        <v>625407.2</v>
      </c>
      <c r="V100" s="118">
        <v>642540.6</v>
      </c>
    </row>
    <row r="101" spans="1:22" ht="19.5" customHeight="1" hidden="1">
      <c r="A101" s="77"/>
      <c r="B101" s="78" t="s">
        <v>127</v>
      </c>
      <c r="C101" s="79"/>
      <c r="D101" s="21"/>
      <c r="E101" s="80"/>
      <c r="F101" s="80"/>
      <c r="G101" s="80"/>
      <c r="H101" s="80"/>
      <c r="I101" s="115">
        <f t="shared" si="20"/>
        <v>0</v>
      </c>
      <c r="J101" s="115" t="e">
        <f t="shared" si="23"/>
        <v>#DIV/0!</v>
      </c>
      <c r="K101" s="80">
        <f t="shared" si="24"/>
        <v>0</v>
      </c>
      <c r="L101" s="115">
        <f t="shared" si="21"/>
        <v>0</v>
      </c>
      <c r="M101" s="115" t="e">
        <f t="shared" si="25"/>
        <v>#DIV/0!</v>
      </c>
      <c r="N101" s="80">
        <f t="shared" si="26"/>
        <v>0</v>
      </c>
      <c r="O101" s="115">
        <f t="shared" si="22"/>
        <v>0</v>
      </c>
      <c r="P101" s="115" t="e">
        <f t="shared" si="27"/>
        <v>#DIV/0!</v>
      </c>
      <c r="Q101" s="80">
        <f t="shared" si="28"/>
        <v>0</v>
      </c>
      <c r="R101" s="116">
        <f t="shared" si="29"/>
        <v>0</v>
      </c>
      <c r="T101" s="117">
        <v>680092.4</v>
      </c>
      <c r="U101" s="118">
        <v>625407.2</v>
      </c>
      <c r="V101" s="118">
        <v>642540.6</v>
      </c>
    </row>
    <row r="102" spans="1:22" s="112" customFormat="1" ht="32.25" customHeight="1">
      <c r="A102" s="93" t="s">
        <v>128</v>
      </c>
      <c r="B102" s="5" t="s">
        <v>259</v>
      </c>
      <c r="C102" s="3">
        <f aca="true" t="shared" si="30" ref="C102:H102">C104+C105+C106+C107</f>
        <v>6408</v>
      </c>
      <c r="D102" s="22">
        <f t="shared" si="30"/>
        <v>4097.8</v>
      </c>
      <c r="E102" s="75">
        <f t="shared" si="30"/>
        <v>4001.7</v>
      </c>
      <c r="F102" s="75">
        <f t="shared" si="30"/>
        <v>3909.3</v>
      </c>
      <c r="G102" s="75">
        <f t="shared" si="30"/>
        <v>3909.3</v>
      </c>
      <c r="H102" s="75">
        <f t="shared" si="30"/>
        <v>3909.3</v>
      </c>
      <c r="I102" s="110">
        <f t="shared" si="20"/>
        <v>0.005748189510719426</v>
      </c>
      <c r="J102" s="110">
        <f t="shared" si="23"/>
        <v>0.9769098133293351</v>
      </c>
      <c r="K102" s="75">
        <f t="shared" si="24"/>
        <v>-92.39999999999964</v>
      </c>
      <c r="L102" s="110">
        <f t="shared" si="21"/>
        <v>0.006250807473914596</v>
      </c>
      <c r="M102" s="110">
        <f t="shared" si="25"/>
        <v>1</v>
      </c>
      <c r="N102" s="75">
        <f t="shared" si="26"/>
        <v>0</v>
      </c>
      <c r="O102" s="110">
        <f t="shared" si="22"/>
        <v>0.0060841291585309945</v>
      </c>
      <c r="P102" s="110">
        <f t="shared" si="27"/>
        <v>1</v>
      </c>
      <c r="Q102" s="75">
        <f t="shared" si="28"/>
        <v>0</v>
      </c>
      <c r="R102" s="111">
        <f t="shared" si="29"/>
        <v>0.6355190324075204</v>
      </c>
      <c r="T102" s="113">
        <v>680092.4</v>
      </c>
      <c r="U102" s="114">
        <v>625407.2</v>
      </c>
      <c r="V102" s="114">
        <v>642540.6</v>
      </c>
    </row>
    <row r="103" spans="1:22" ht="22.5" customHeight="1" hidden="1">
      <c r="A103" s="77"/>
      <c r="B103" s="78" t="s">
        <v>121</v>
      </c>
      <c r="C103" s="79"/>
      <c r="D103" s="21"/>
      <c r="E103" s="80"/>
      <c r="F103" s="80"/>
      <c r="G103" s="80"/>
      <c r="H103" s="80"/>
      <c r="I103" s="115">
        <f t="shared" si="20"/>
        <v>0</v>
      </c>
      <c r="J103" s="115" t="e">
        <f t="shared" si="23"/>
        <v>#DIV/0!</v>
      </c>
      <c r="K103" s="80">
        <f t="shared" si="24"/>
        <v>0</v>
      </c>
      <c r="L103" s="115">
        <f t="shared" si="21"/>
        <v>0</v>
      </c>
      <c r="M103" s="115" t="e">
        <f t="shared" si="25"/>
        <v>#DIV/0!</v>
      </c>
      <c r="N103" s="80">
        <f t="shared" si="26"/>
        <v>0</v>
      </c>
      <c r="O103" s="115">
        <f t="shared" si="22"/>
        <v>0</v>
      </c>
      <c r="P103" s="115" t="e">
        <f t="shared" si="27"/>
        <v>#DIV/0!</v>
      </c>
      <c r="Q103" s="80">
        <f t="shared" si="28"/>
        <v>0</v>
      </c>
      <c r="R103" s="116">
        <f t="shared" si="29"/>
        <v>0</v>
      </c>
      <c r="T103" s="117">
        <v>680092.4</v>
      </c>
      <c r="U103" s="118">
        <v>625407.2</v>
      </c>
      <c r="V103" s="118">
        <v>642540.6</v>
      </c>
    </row>
    <row r="104" spans="1:22" ht="29.25" customHeight="1">
      <c r="A104" s="77"/>
      <c r="B104" s="78" t="s">
        <v>129</v>
      </c>
      <c r="C104" s="79">
        <v>3528.9</v>
      </c>
      <c r="D104" s="21">
        <v>3494.4</v>
      </c>
      <c r="E104" s="80">
        <f>4001.7-347.3</f>
        <v>3654.3999999999996</v>
      </c>
      <c r="F104" s="80">
        <f>900+2600</f>
        <v>3500</v>
      </c>
      <c r="G104" s="80">
        <f>900+2600</f>
        <v>3500</v>
      </c>
      <c r="H104" s="80">
        <f>900+2600</f>
        <v>3500</v>
      </c>
      <c r="I104" s="115">
        <f t="shared" si="20"/>
        <v>0.005146359524088197</v>
      </c>
      <c r="J104" s="115">
        <f t="shared" si="23"/>
        <v>0.9577495621716288</v>
      </c>
      <c r="K104" s="80">
        <f t="shared" si="24"/>
        <v>-154.39999999999964</v>
      </c>
      <c r="L104" s="115">
        <f t="shared" si="21"/>
        <v>0.005596353863530833</v>
      </c>
      <c r="M104" s="115">
        <f t="shared" si="25"/>
        <v>1</v>
      </c>
      <c r="N104" s="80">
        <f t="shared" si="26"/>
        <v>0</v>
      </c>
      <c r="O104" s="115">
        <f t="shared" si="22"/>
        <v>0.005447126609587005</v>
      </c>
      <c r="P104" s="115">
        <f t="shared" si="27"/>
        <v>1</v>
      </c>
      <c r="Q104" s="80">
        <f t="shared" si="28"/>
        <v>0</v>
      </c>
      <c r="R104" s="116">
        <f t="shared" si="29"/>
        <v>0.5689807928340933</v>
      </c>
      <c r="T104" s="117">
        <v>680092.4</v>
      </c>
      <c r="U104" s="118">
        <v>625407.2</v>
      </c>
      <c r="V104" s="118">
        <v>642540.6</v>
      </c>
    </row>
    <row r="105" spans="1:22" ht="45" customHeight="1">
      <c r="A105" s="77"/>
      <c r="B105" s="78" t="s">
        <v>130</v>
      </c>
      <c r="C105" s="79">
        <f>2879.1</f>
        <v>2879.1</v>
      </c>
      <c r="D105" s="21">
        <f>603.4</f>
        <v>603.4</v>
      </c>
      <c r="E105" s="80">
        <f>347.3-60</f>
        <v>287.3</v>
      </c>
      <c r="F105" s="80">
        <v>329.3</v>
      </c>
      <c r="G105" s="80">
        <v>329.3</v>
      </c>
      <c r="H105" s="80">
        <v>329.3</v>
      </c>
      <c r="I105" s="115">
        <f t="shared" si="20"/>
        <v>0.0004841989117949267</v>
      </c>
      <c r="J105" s="115">
        <f t="shared" si="23"/>
        <v>1.1461886529759833</v>
      </c>
      <c r="K105" s="80">
        <f t="shared" si="24"/>
        <v>42</v>
      </c>
      <c r="L105" s="115">
        <f t="shared" si="21"/>
        <v>0.0005265369506459153</v>
      </c>
      <c r="M105" s="115">
        <f t="shared" si="25"/>
        <v>1</v>
      </c>
      <c r="N105" s="80">
        <f t="shared" si="26"/>
        <v>0</v>
      </c>
      <c r="O105" s="115">
        <f t="shared" si="22"/>
        <v>0.0005124967978677146</v>
      </c>
      <c r="P105" s="115">
        <f t="shared" si="27"/>
        <v>1</v>
      </c>
      <c r="Q105" s="80">
        <f t="shared" si="28"/>
        <v>0</v>
      </c>
      <c r="R105" s="116">
        <f t="shared" si="29"/>
        <v>0.05353296430864769</v>
      </c>
      <c r="T105" s="117">
        <v>680092.4</v>
      </c>
      <c r="U105" s="118">
        <v>625407.2</v>
      </c>
      <c r="V105" s="118">
        <v>642540.6</v>
      </c>
    </row>
    <row r="106" spans="1:22" ht="19.5" customHeight="1" hidden="1">
      <c r="A106" s="77"/>
      <c r="B106" s="78" t="s">
        <v>67</v>
      </c>
      <c r="C106" s="79"/>
      <c r="D106" s="21"/>
      <c r="E106" s="80"/>
      <c r="F106" s="80"/>
      <c r="G106" s="80"/>
      <c r="H106" s="80"/>
      <c r="I106" s="115">
        <f t="shared" si="20"/>
        <v>0</v>
      </c>
      <c r="J106" s="115" t="e">
        <f t="shared" si="23"/>
        <v>#DIV/0!</v>
      </c>
      <c r="K106" s="80">
        <f t="shared" si="24"/>
        <v>0</v>
      </c>
      <c r="L106" s="115">
        <f t="shared" si="21"/>
        <v>0</v>
      </c>
      <c r="M106" s="115" t="e">
        <f t="shared" si="25"/>
        <v>#DIV/0!</v>
      </c>
      <c r="N106" s="80">
        <f t="shared" si="26"/>
        <v>0</v>
      </c>
      <c r="O106" s="115">
        <f t="shared" si="22"/>
        <v>0</v>
      </c>
      <c r="P106" s="115" t="e">
        <f t="shared" si="27"/>
        <v>#DIV/0!</v>
      </c>
      <c r="Q106" s="80">
        <f t="shared" si="28"/>
        <v>0</v>
      </c>
      <c r="R106" s="116">
        <f t="shared" si="29"/>
        <v>0</v>
      </c>
      <c r="T106" s="117">
        <v>680092.4</v>
      </c>
      <c r="U106" s="118">
        <v>625407.2</v>
      </c>
      <c r="V106" s="118">
        <v>642540.6</v>
      </c>
    </row>
    <row r="107" spans="1:22" ht="25.5" customHeight="1" hidden="1">
      <c r="A107" s="77"/>
      <c r="B107" s="78" t="s">
        <v>131</v>
      </c>
      <c r="C107" s="79">
        <v>0</v>
      </c>
      <c r="D107" s="21">
        <v>0</v>
      </c>
      <c r="E107" s="80">
        <f>E108</f>
        <v>60</v>
      </c>
      <c r="F107" s="80">
        <f>F108</f>
        <v>80</v>
      </c>
      <c r="G107" s="80">
        <f>G108</f>
        <v>80</v>
      </c>
      <c r="H107" s="80">
        <f>H108</f>
        <v>80</v>
      </c>
      <c r="I107" s="115">
        <f t="shared" si="20"/>
        <v>0.00011763107483630165</v>
      </c>
      <c r="J107" s="115">
        <f t="shared" si="23"/>
        <v>1.3333333333333333</v>
      </c>
      <c r="K107" s="80">
        <f t="shared" si="24"/>
        <v>20</v>
      </c>
      <c r="L107" s="115">
        <f t="shared" si="21"/>
        <v>0.0001279166597378476</v>
      </c>
      <c r="M107" s="115">
        <f t="shared" si="25"/>
        <v>1</v>
      </c>
      <c r="N107" s="80">
        <f t="shared" si="26"/>
        <v>0</v>
      </c>
      <c r="O107" s="115">
        <f t="shared" si="22"/>
        <v>0.0001245057510762744</v>
      </c>
      <c r="P107" s="115">
        <f t="shared" si="27"/>
        <v>1</v>
      </c>
      <c r="Q107" s="80">
        <f t="shared" si="28"/>
        <v>0</v>
      </c>
      <c r="R107" s="116">
        <f t="shared" si="29"/>
        <v>0.013005275264779277</v>
      </c>
      <c r="T107" s="117">
        <v>680092.4</v>
      </c>
      <c r="U107" s="118">
        <v>625407.2</v>
      </c>
      <c r="V107" s="118">
        <v>642540.6</v>
      </c>
    </row>
    <row r="108" spans="1:22" ht="118.5" customHeight="1">
      <c r="A108" s="77"/>
      <c r="B108" s="78" t="s">
        <v>277</v>
      </c>
      <c r="C108" s="89">
        <v>0</v>
      </c>
      <c r="D108" s="90">
        <v>0</v>
      </c>
      <c r="E108" s="80">
        <f>60</f>
        <v>60</v>
      </c>
      <c r="F108" s="80">
        <f>30+50</f>
        <v>80</v>
      </c>
      <c r="G108" s="80">
        <f>30+50</f>
        <v>80</v>
      </c>
      <c r="H108" s="80">
        <f>30+50</f>
        <v>80</v>
      </c>
      <c r="I108" s="115">
        <f t="shared" si="20"/>
        <v>0.00011763107483630165</v>
      </c>
      <c r="J108" s="115">
        <f t="shared" si="23"/>
        <v>1.3333333333333333</v>
      </c>
      <c r="K108" s="80">
        <f t="shared" si="24"/>
        <v>20</v>
      </c>
      <c r="L108" s="115">
        <f t="shared" si="21"/>
        <v>0.0001279166597378476</v>
      </c>
      <c r="M108" s="115">
        <f t="shared" si="25"/>
        <v>1</v>
      </c>
      <c r="N108" s="80">
        <f t="shared" si="26"/>
        <v>0</v>
      </c>
      <c r="O108" s="115">
        <f t="shared" si="22"/>
        <v>0.0001245057510762744</v>
      </c>
      <c r="P108" s="115">
        <f t="shared" si="27"/>
        <v>1</v>
      </c>
      <c r="Q108" s="80">
        <f t="shared" si="28"/>
        <v>0</v>
      </c>
      <c r="R108" s="116">
        <f t="shared" si="29"/>
        <v>0.013005275264779277</v>
      </c>
      <c r="T108" s="117">
        <v>680092.4</v>
      </c>
      <c r="U108" s="118">
        <v>625407.2</v>
      </c>
      <c r="V108" s="118">
        <v>642540.6</v>
      </c>
    </row>
    <row r="109" spans="1:22" s="112" customFormat="1" ht="37.5" customHeight="1">
      <c r="A109" s="93" t="s">
        <v>132</v>
      </c>
      <c r="B109" s="5" t="s">
        <v>260</v>
      </c>
      <c r="C109" s="3">
        <f aca="true" t="shared" si="31" ref="C109:H109">C111+C112+C113</f>
        <v>17822.8</v>
      </c>
      <c r="D109" s="22">
        <f t="shared" si="31"/>
        <v>19339.600000000002</v>
      </c>
      <c r="E109" s="75">
        <f t="shared" si="31"/>
        <v>21349.2</v>
      </c>
      <c r="F109" s="75">
        <f t="shared" si="31"/>
        <v>22633.7</v>
      </c>
      <c r="G109" s="75">
        <f t="shared" si="31"/>
        <v>23351.3</v>
      </c>
      <c r="H109" s="75">
        <f t="shared" si="31"/>
        <v>23926.000000000004</v>
      </c>
      <c r="I109" s="110">
        <f t="shared" si="20"/>
        <v>0.03328033073153001</v>
      </c>
      <c r="J109" s="110">
        <f t="shared" si="23"/>
        <v>1.0601661888970078</v>
      </c>
      <c r="K109" s="75">
        <f t="shared" si="24"/>
        <v>1284.5</v>
      </c>
      <c r="L109" s="110">
        <f t="shared" si="21"/>
        <v>0.03733775370670501</v>
      </c>
      <c r="M109" s="110">
        <f t="shared" si="25"/>
        <v>1.0317049355606904</v>
      </c>
      <c r="N109" s="75">
        <f t="shared" si="26"/>
        <v>717.5999999999985</v>
      </c>
      <c r="O109" s="110">
        <f t="shared" si="22"/>
        <v>0.03723655750313677</v>
      </c>
      <c r="P109" s="110">
        <f t="shared" si="27"/>
        <v>1.0246110494918914</v>
      </c>
      <c r="Q109" s="75">
        <f t="shared" si="28"/>
        <v>574.7000000000044</v>
      </c>
      <c r="R109" s="111">
        <f t="shared" si="29"/>
        <v>3.6794687345054338</v>
      </c>
      <c r="T109" s="113">
        <v>680092.4</v>
      </c>
      <c r="U109" s="114">
        <v>625407.2</v>
      </c>
      <c r="V109" s="114">
        <v>642540.6</v>
      </c>
    </row>
    <row r="110" spans="1:22" ht="18.75" hidden="1">
      <c r="A110" s="77"/>
      <c r="B110" s="78" t="s">
        <v>121</v>
      </c>
      <c r="C110" s="79"/>
      <c r="D110" s="21"/>
      <c r="E110" s="80"/>
      <c r="F110" s="80"/>
      <c r="G110" s="80"/>
      <c r="H110" s="80"/>
      <c r="I110" s="115">
        <f t="shared" si="20"/>
        <v>0</v>
      </c>
      <c r="J110" s="115" t="e">
        <f t="shared" si="23"/>
        <v>#DIV/0!</v>
      </c>
      <c r="K110" s="80">
        <f t="shared" si="24"/>
        <v>0</v>
      </c>
      <c r="L110" s="115">
        <f t="shared" si="21"/>
        <v>0</v>
      </c>
      <c r="M110" s="115" t="e">
        <f t="shared" si="25"/>
        <v>#DIV/0!</v>
      </c>
      <c r="N110" s="80">
        <f t="shared" si="26"/>
        <v>0</v>
      </c>
      <c r="O110" s="115">
        <f t="shared" si="22"/>
        <v>0</v>
      </c>
      <c r="P110" s="115" t="e">
        <f t="shared" si="27"/>
        <v>#DIV/0!</v>
      </c>
      <c r="Q110" s="80">
        <f t="shared" si="28"/>
        <v>0</v>
      </c>
      <c r="R110" s="116">
        <f t="shared" si="29"/>
        <v>0</v>
      </c>
      <c r="T110" s="117">
        <v>680092.4</v>
      </c>
      <c r="U110" s="118">
        <v>625407.2</v>
      </c>
      <c r="V110" s="118">
        <v>642540.6</v>
      </c>
    </row>
    <row r="111" spans="1:22" ht="29.25" customHeight="1">
      <c r="A111" s="77"/>
      <c r="B111" s="78" t="s">
        <v>133</v>
      </c>
      <c r="C111" s="79">
        <v>1989.6</v>
      </c>
      <c r="D111" s="21">
        <v>2409</v>
      </c>
      <c r="E111" s="80">
        <f>2673</f>
        <v>2673</v>
      </c>
      <c r="F111" s="80">
        <f>2975</f>
        <v>2975</v>
      </c>
      <c r="G111" s="80">
        <f>2975</f>
        <v>2975</v>
      </c>
      <c r="H111" s="80">
        <f>2975</f>
        <v>2975</v>
      </c>
      <c r="I111" s="115">
        <f t="shared" si="20"/>
        <v>0.0043744055954749676</v>
      </c>
      <c r="J111" s="115">
        <f t="shared" si="23"/>
        <v>1.112981668537224</v>
      </c>
      <c r="K111" s="80">
        <f t="shared" si="24"/>
        <v>302</v>
      </c>
      <c r="L111" s="115">
        <f t="shared" si="21"/>
        <v>0.004756900784001208</v>
      </c>
      <c r="M111" s="115">
        <f t="shared" si="25"/>
        <v>1</v>
      </c>
      <c r="N111" s="80">
        <f t="shared" si="26"/>
        <v>0</v>
      </c>
      <c r="O111" s="115">
        <f t="shared" si="22"/>
        <v>0.004630057618148955</v>
      </c>
      <c r="P111" s="115">
        <f t="shared" si="27"/>
        <v>1</v>
      </c>
      <c r="Q111" s="80">
        <f t="shared" si="28"/>
        <v>0</v>
      </c>
      <c r="R111" s="116">
        <f t="shared" si="29"/>
        <v>0.48363367390897927</v>
      </c>
      <c r="T111" s="117">
        <v>680092.4</v>
      </c>
      <c r="U111" s="118">
        <v>625407.2</v>
      </c>
      <c r="V111" s="118">
        <v>642540.6</v>
      </c>
    </row>
    <row r="112" spans="1:22" ht="45" customHeight="1">
      <c r="A112" s="77"/>
      <c r="B112" s="78" t="s">
        <v>134</v>
      </c>
      <c r="C112" s="79">
        <f>14368.5+514.7</f>
        <v>14883.2</v>
      </c>
      <c r="D112" s="21">
        <f>13995.1+1721.2+714.3</f>
        <v>16430.600000000002</v>
      </c>
      <c r="E112" s="80">
        <f>1949.6+16236.6</f>
        <v>18186.2</v>
      </c>
      <c r="F112" s="80">
        <f>16625.2+1842.4+671.1</f>
        <v>19138.7</v>
      </c>
      <c r="G112" s="80">
        <f>17464.3+1842.4+548.1</f>
        <v>19854.8</v>
      </c>
      <c r="H112" s="80">
        <f>18024+1842.4+566.7</f>
        <v>20433.100000000002</v>
      </c>
      <c r="I112" s="115">
        <f t="shared" si="20"/>
        <v>0.02814132314961908</v>
      </c>
      <c r="J112" s="115">
        <f t="shared" si="23"/>
        <v>1.0523748776544852</v>
      </c>
      <c r="K112" s="80">
        <f t="shared" si="24"/>
        <v>952.5</v>
      </c>
      <c r="L112" s="115">
        <f t="shared" si="21"/>
        <v>0.031746996197037705</v>
      </c>
      <c r="M112" s="115">
        <f t="shared" si="25"/>
        <v>1.0374163344427783</v>
      </c>
      <c r="N112" s="80">
        <f t="shared" si="26"/>
        <v>716.0999999999985</v>
      </c>
      <c r="O112" s="115">
        <f t="shared" si="22"/>
        <v>0.031800480778957786</v>
      </c>
      <c r="P112" s="115">
        <f t="shared" si="27"/>
        <v>1.0291264580857022</v>
      </c>
      <c r="Q112" s="80">
        <f t="shared" si="28"/>
        <v>578.3000000000029</v>
      </c>
      <c r="R112" s="116">
        <f t="shared" si="29"/>
        <v>3.1113007713753893</v>
      </c>
      <c r="T112" s="117">
        <v>680092.4</v>
      </c>
      <c r="U112" s="118">
        <v>625407.2</v>
      </c>
      <c r="V112" s="118">
        <v>642540.6</v>
      </c>
    </row>
    <row r="113" spans="1:22" ht="69.75" customHeight="1">
      <c r="A113" s="77"/>
      <c r="B113" s="78" t="s">
        <v>261</v>
      </c>
      <c r="C113" s="79">
        <f>950</f>
        <v>950</v>
      </c>
      <c r="D113" s="21">
        <v>500</v>
      </c>
      <c r="E113" s="80">
        <f>550-60</f>
        <v>490</v>
      </c>
      <c r="F113" s="80">
        <f>1191.1-671.1</f>
        <v>519.9999999999999</v>
      </c>
      <c r="G113" s="80">
        <f>1069.6-548.1</f>
        <v>521.4999999999999</v>
      </c>
      <c r="H113" s="80">
        <f>1084.6-566.7</f>
        <v>517.8999999999999</v>
      </c>
      <c r="I113" s="115">
        <f t="shared" si="20"/>
        <v>0.0007646019864359605</v>
      </c>
      <c r="J113" s="115">
        <f t="shared" si="23"/>
        <v>1.0612244897959182</v>
      </c>
      <c r="K113" s="80">
        <f t="shared" si="24"/>
        <v>29.999999999999886</v>
      </c>
      <c r="L113" s="115">
        <f t="shared" si="21"/>
        <v>0.000833856725666094</v>
      </c>
      <c r="M113" s="115">
        <f t="shared" si="25"/>
        <v>1.0028846153846154</v>
      </c>
      <c r="N113" s="80">
        <f t="shared" si="26"/>
        <v>1.5</v>
      </c>
      <c r="O113" s="115">
        <f t="shared" si="22"/>
        <v>0.0008060191060300313</v>
      </c>
      <c r="P113" s="115">
        <f t="shared" si="27"/>
        <v>0.9930968360498561</v>
      </c>
      <c r="Q113" s="80">
        <f t="shared" si="28"/>
        <v>-3.6000000000000227</v>
      </c>
      <c r="R113" s="116">
        <f t="shared" si="29"/>
        <v>0.08453428922106528</v>
      </c>
      <c r="T113" s="117">
        <v>680092.4</v>
      </c>
      <c r="U113" s="118">
        <v>625407.2</v>
      </c>
      <c r="V113" s="118">
        <v>642540.6</v>
      </c>
    </row>
    <row r="114" spans="1:22" ht="66" customHeight="1" hidden="1">
      <c r="A114" s="1"/>
      <c r="B114" s="2" t="s">
        <v>135</v>
      </c>
      <c r="C114" s="3">
        <f>0</f>
        <v>0</v>
      </c>
      <c r="D114" s="21">
        <f>0</f>
        <v>0</v>
      </c>
      <c r="E114" s="10">
        <f>0</f>
        <v>0</v>
      </c>
      <c r="F114" s="10">
        <f>0</f>
        <v>0</v>
      </c>
      <c r="G114" s="10">
        <f>0</f>
        <v>0</v>
      </c>
      <c r="H114" s="10">
        <f>0</f>
        <v>0</v>
      </c>
      <c r="I114" s="119">
        <f t="shared" si="20"/>
        <v>0</v>
      </c>
      <c r="J114" s="119" t="e">
        <f t="shared" si="23"/>
        <v>#DIV/0!</v>
      </c>
      <c r="K114" s="10">
        <f t="shared" si="24"/>
        <v>0</v>
      </c>
      <c r="L114" s="119">
        <f t="shared" si="21"/>
        <v>0</v>
      </c>
      <c r="M114" s="119" t="e">
        <f t="shared" si="25"/>
        <v>#DIV/0!</v>
      </c>
      <c r="N114" s="10">
        <f t="shared" si="26"/>
        <v>0</v>
      </c>
      <c r="O114" s="119">
        <f t="shared" si="22"/>
        <v>0</v>
      </c>
      <c r="P114" s="119" t="e">
        <f t="shared" si="27"/>
        <v>#DIV/0!</v>
      </c>
      <c r="Q114" s="10">
        <f t="shared" si="28"/>
        <v>0</v>
      </c>
      <c r="R114" s="120">
        <f t="shared" si="29"/>
        <v>0</v>
      </c>
      <c r="T114" s="117">
        <v>680092.4</v>
      </c>
      <c r="U114" s="118">
        <v>625407.2</v>
      </c>
      <c r="V114" s="118">
        <v>642540.6</v>
      </c>
    </row>
    <row r="115" spans="1:22" s="108" customFormat="1" ht="42" customHeight="1">
      <c r="A115" s="81" t="s">
        <v>136</v>
      </c>
      <c r="B115" s="82" t="s">
        <v>263</v>
      </c>
      <c r="C115" s="83">
        <f aca="true" t="shared" si="32" ref="C115:H115">C116+C122</f>
        <v>66899.4</v>
      </c>
      <c r="D115" s="76">
        <f t="shared" si="32"/>
        <v>62872.8</v>
      </c>
      <c r="E115" s="85">
        <f t="shared" si="32"/>
        <v>66025</v>
      </c>
      <c r="F115" s="85">
        <f t="shared" si="32"/>
        <v>98439.3</v>
      </c>
      <c r="G115" s="85">
        <f t="shared" si="32"/>
        <v>59689.2</v>
      </c>
      <c r="H115" s="85">
        <f t="shared" si="32"/>
        <v>64418.8</v>
      </c>
      <c r="I115" s="104">
        <f t="shared" si="20"/>
        <v>0.14474400831416437</v>
      </c>
      <c r="J115" s="104">
        <f t="shared" si="23"/>
        <v>1.4909397955319954</v>
      </c>
      <c r="K115" s="85">
        <f t="shared" si="24"/>
        <v>32414.300000000003</v>
      </c>
      <c r="L115" s="104">
        <f t="shared" si="21"/>
        <v>0.09544053858030416</v>
      </c>
      <c r="M115" s="104">
        <f t="shared" si="25"/>
        <v>0.6063553885490855</v>
      </c>
      <c r="N115" s="85">
        <f t="shared" si="26"/>
        <v>-38750.100000000006</v>
      </c>
      <c r="O115" s="104">
        <f t="shared" si="22"/>
        <v>0.10025638846790383</v>
      </c>
      <c r="P115" s="104">
        <f t="shared" si="27"/>
        <v>1.0792371149219626</v>
      </c>
      <c r="Q115" s="85">
        <f t="shared" si="28"/>
        <v>4729.600000000006</v>
      </c>
      <c r="R115" s="105">
        <f t="shared" si="29"/>
        <v>16.002877417152334</v>
      </c>
      <c r="S115" s="105">
        <f>F115/E115*100</f>
        <v>149.09397955319955</v>
      </c>
      <c r="T115" s="106">
        <v>680092.4</v>
      </c>
      <c r="U115" s="107">
        <v>625407.2</v>
      </c>
      <c r="V115" s="107">
        <v>642540.6</v>
      </c>
    </row>
    <row r="116" spans="1:22" s="112" customFormat="1" ht="45" customHeight="1">
      <c r="A116" s="93" t="s">
        <v>137</v>
      </c>
      <c r="B116" s="5" t="s">
        <v>262</v>
      </c>
      <c r="C116" s="3">
        <f>C118+C119+C120+C121</f>
        <v>62723.5</v>
      </c>
      <c r="D116" s="22">
        <f>D118</f>
        <v>59712.4</v>
      </c>
      <c r="E116" s="75">
        <f>E118</f>
        <v>62555.8</v>
      </c>
      <c r="F116" s="75">
        <f>F118</f>
        <v>79558.3</v>
      </c>
      <c r="G116" s="75">
        <f>G118</f>
        <v>47346.6</v>
      </c>
      <c r="H116" s="75">
        <f>H118</f>
        <v>47246.6</v>
      </c>
      <c r="I116" s="110">
        <f t="shared" si="20"/>
        <v>0.11698160426436173</v>
      </c>
      <c r="J116" s="110">
        <f t="shared" si="23"/>
        <v>1.2717973393354414</v>
      </c>
      <c r="K116" s="75">
        <f t="shared" si="24"/>
        <v>17002.5</v>
      </c>
      <c r="L116" s="110">
        <f t="shared" si="21"/>
        <v>0.0757052365242997</v>
      </c>
      <c r="M116" s="110">
        <f t="shared" si="25"/>
        <v>0.5951182968967411</v>
      </c>
      <c r="N116" s="75">
        <f t="shared" si="26"/>
        <v>-32211.700000000004</v>
      </c>
      <c r="O116" s="110">
        <f t="shared" si="22"/>
        <v>0.07353091773500382</v>
      </c>
      <c r="P116" s="110">
        <f t="shared" si="27"/>
        <v>0.997887915922157</v>
      </c>
      <c r="Q116" s="75">
        <f t="shared" si="28"/>
        <v>-100</v>
      </c>
      <c r="R116" s="111">
        <f t="shared" si="29"/>
        <v>12.933469888723614</v>
      </c>
      <c r="T116" s="113">
        <v>680092.4</v>
      </c>
      <c r="U116" s="114">
        <v>625407.2</v>
      </c>
      <c r="V116" s="114">
        <v>642540.6</v>
      </c>
    </row>
    <row r="117" spans="1:22" ht="18.75" hidden="1">
      <c r="A117" s="77"/>
      <c r="B117" s="78" t="s">
        <v>82</v>
      </c>
      <c r="C117" s="79"/>
      <c r="D117" s="21"/>
      <c r="E117" s="80"/>
      <c r="F117" s="80"/>
      <c r="G117" s="80"/>
      <c r="H117" s="80"/>
      <c r="I117" s="115">
        <f t="shared" si="20"/>
        <v>0</v>
      </c>
      <c r="J117" s="115" t="e">
        <f t="shared" si="23"/>
        <v>#DIV/0!</v>
      </c>
      <c r="K117" s="80">
        <f t="shared" si="24"/>
        <v>0</v>
      </c>
      <c r="L117" s="115">
        <f t="shared" si="21"/>
        <v>0</v>
      </c>
      <c r="M117" s="115" t="e">
        <f t="shared" si="25"/>
        <v>#DIV/0!</v>
      </c>
      <c r="N117" s="80">
        <f t="shared" si="26"/>
        <v>0</v>
      </c>
      <c r="O117" s="115">
        <f t="shared" si="22"/>
        <v>0</v>
      </c>
      <c r="P117" s="115" t="e">
        <f t="shared" si="27"/>
        <v>#DIV/0!</v>
      </c>
      <c r="Q117" s="80">
        <f t="shared" si="28"/>
        <v>0</v>
      </c>
      <c r="R117" s="116">
        <f t="shared" si="29"/>
        <v>0</v>
      </c>
      <c r="T117" s="117">
        <v>680092.4</v>
      </c>
      <c r="U117" s="118">
        <v>625407.2</v>
      </c>
      <c r="V117" s="118">
        <v>642540.6</v>
      </c>
    </row>
    <row r="118" spans="1:22" ht="48.75" customHeight="1">
      <c r="A118" s="77"/>
      <c r="B118" s="87" t="s">
        <v>264</v>
      </c>
      <c r="C118" s="79">
        <f>64123.5-1400</f>
        <v>62723.5</v>
      </c>
      <c r="D118" s="21">
        <v>59712.4</v>
      </c>
      <c r="E118" s="80">
        <f>62555.8</f>
        <v>62555.8</v>
      </c>
      <c r="F118" s="80">
        <f>22258.4+55209.9+2090</f>
        <v>79558.3</v>
      </c>
      <c r="G118" s="80">
        <f>12932.6+35614+1500-300-500-700-700-300-100-100</f>
        <v>47346.6</v>
      </c>
      <c r="H118" s="80">
        <f>13132.6+36514+1000-500-500-1200-500-100-300-300</f>
        <v>47246.6</v>
      </c>
      <c r="I118" s="115">
        <f t="shared" si="20"/>
        <v>0.11698160426436173</v>
      </c>
      <c r="J118" s="115">
        <f t="shared" si="23"/>
        <v>1.2717973393354414</v>
      </c>
      <c r="K118" s="80">
        <f t="shared" si="24"/>
        <v>17002.5</v>
      </c>
      <c r="L118" s="115">
        <f t="shared" si="21"/>
        <v>0.0757052365242997</v>
      </c>
      <c r="M118" s="115">
        <f t="shared" si="25"/>
        <v>0.5951182968967411</v>
      </c>
      <c r="N118" s="80">
        <f t="shared" si="26"/>
        <v>-32211.700000000004</v>
      </c>
      <c r="O118" s="115">
        <f t="shared" si="22"/>
        <v>0.07353091773500382</v>
      </c>
      <c r="P118" s="115">
        <f t="shared" si="27"/>
        <v>0.997887915922157</v>
      </c>
      <c r="Q118" s="80">
        <f t="shared" si="28"/>
        <v>-100</v>
      </c>
      <c r="R118" s="116">
        <f t="shared" si="29"/>
        <v>12.933469888723614</v>
      </c>
      <c r="T118" s="117">
        <v>680092.4</v>
      </c>
      <c r="U118" s="118">
        <v>625407.2</v>
      </c>
      <c r="V118" s="118">
        <v>642540.6</v>
      </c>
    </row>
    <row r="119" spans="1:22" ht="25.5" customHeight="1">
      <c r="A119" s="77"/>
      <c r="B119" s="88" t="s">
        <v>189</v>
      </c>
      <c r="C119" s="79"/>
      <c r="D119" s="21">
        <f>79+13</f>
        <v>92</v>
      </c>
      <c r="E119" s="20">
        <f>112.6</f>
        <v>112.6</v>
      </c>
      <c r="F119" s="20">
        <f>24+114</f>
        <v>138</v>
      </c>
      <c r="G119" s="20">
        <f>24+114</f>
        <v>138</v>
      </c>
      <c r="H119" s="20">
        <f>24+114</f>
        <v>138</v>
      </c>
      <c r="I119" s="115">
        <f t="shared" si="20"/>
        <v>0.00020291360409262034</v>
      </c>
      <c r="J119" s="115">
        <f t="shared" si="23"/>
        <v>1.2255772646536414</v>
      </c>
      <c r="K119" s="80">
        <f t="shared" si="24"/>
        <v>25.400000000000006</v>
      </c>
      <c r="L119" s="115">
        <f t="shared" si="21"/>
        <v>0.0002206562380477871</v>
      </c>
      <c r="M119" s="115">
        <f t="shared" si="25"/>
        <v>1</v>
      </c>
      <c r="N119" s="80">
        <f t="shared" si="26"/>
        <v>0</v>
      </c>
      <c r="O119" s="115">
        <f t="shared" si="22"/>
        <v>0.00021477242060657334</v>
      </c>
      <c r="P119" s="115">
        <f t="shared" si="27"/>
        <v>1</v>
      </c>
      <c r="Q119" s="80">
        <f t="shared" si="28"/>
        <v>0</v>
      </c>
      <c r="R119" s="116">
        <f t="shared" si="29"/>
        <v>0.02243409983174425</v>
      </c>
      <c r="T119" s="117">
        <v>680092.4</v>
      </c>
      <c r="U119" s="118">
        <v>625407.2</v>
      </c>
      <c r="V119" s="118">
        <v>642540.6</v>
      </c>
    </row>
    <row r="120" spans="1:22" ht="24.75" customHeight="1" hidden="1">
      <c r="A120" s="77"/>
      <c r="B120" s="86"/>
      <c r="C120" s="79"/>
      <c r="D120" s="21"/>
      <c r="E120" s="20">
        <v>0</v>
      </c>
      <c r="F120" s="20">
        <v>0</v>
      </c>
      <c r="G120" s="20">
        <v>0</v>
      </c>
      <c r="H120" s="20">
        <v>0</v>
      </c>
      <c r="I120" s="115">
        <f t="shared" si="20"/>
        <v>0</v>
      </c>
      <c r="J120" s="115" t="e">
        <f t="shared" si="23"/>
        <v>#DIV/0!</v>
      </c>
      <c r="K120" s="80">
        <f t="shared" si="24"/>
        <v>0</v>
      </c>
      <c r="L120" s="115">
        <f t="shared" si="21"/>
        <v>0</v>
      </c>
      <c r="M120" s="115" t="e">
        <f t="shared" si="25"/>
        <v>#DIV/0!</v>
      </c>
      <c r="N120" s="80">
        <f t="shared" si="26"/>
        <v>0</v>
      </c>
      <c r="O120" s="115">
        <f t="shared" si="22"/>
        <v>0</v>
      </c>
      <c r="P120" s="115" t="e">
        <f t="shared" si="27"/>
        <v>#DIV/0!</v>
      </c>
      <c r="Q120" s="80">
        <f t="shared" si="28"/>
        <v>0</v>
      </c>
      <c r="R120" s="116">
        <f t="shared" si="29"/>
        <v>0</v>
      </c>
      <c r="T120" s="117">
        <v>680092.4</v>
      </c>
      <c r="U120" s="118">
        <v>625407.2</v>
      </c>
      <c r="V120" s="118">
        <v>642540.6</v>
      </c>
    </row>
    <row r="121" spans="1:22" ht="28.5" customHeight="1" hidden="1">
      <c r="A121" s="77"/>
      <c r="B121" s="86" t="s">
        <v>138</v>
      </c>
      <c r="C121" s="79"/>
      <c r="D121" s="21">
        <v>100</v>
      </c>
      <c r="E121" s="20"/>
      <c r="F121" s="20"/>
      <c r="G121" s="20"/>
      <c r="H121" s="20"/>
      <c r="I121" s="115">
        <f t="shared" si="20"/>
        <v>0</v>
      </c>
      <c r="J121" s="115" t="e">
        <f t="shared" si="23"/>
        <v>#DIV/0!</v>
      </c>
      <c r="K121" s="80">
        <f t="shared" si="24"/>
        <v>0</v>
      </c>
      <c r="L121" s="115">
        <f t="shared" si="21"/>
        <v>0</v>
      </c>
      <c r="M121" s="115" t="e">
        <f t="shared" si="25"/>
        <v>#DIV/0!</v>
      </c>
      <c r="N121" s="80">
        <f t="shared" si="26"/>
        <v>0</v>
      </c>
      <c r="O121" s="115">
        <f t="shared" si="22"/>
        <v>0</v>
      </c>
      <c r="P121" s="115" t="e">
        <f t="shared" si="27"/>
        <v>#DIV/0!</v>
      </c>
      <c r="Q121" s="80">
        <f t="shared" si="28"/>
        <v>0</v>
      </c>
      <c r="R121" s="116">
        <f t="shared" si="29"/>
        <v>0</v>
      </c>
      <c r="T121" s="117">
        <v>680092.4</v>
      </c>
      <c r="U121" s="118">
        <v>625407.2</v>
      </c>
      <c r="V121" s="118">
        <v>642540.6</v>
      </c>
    </row>
    <row r="122" spans="1:22" s="112" customFormat="1" ht="29.25" customHeight="1">
      <c r="A122" s="93" t="s">
        <v>139</v>
      </c>
      <c r="B122" s="5" t="s">
        <v>265</v>
      </c>
      <c r="C122" s="3">
        <f aca="true" t="shared" si="33" ref="C122:H122">C124+C125+C126</f>
        <v>4175.9</v>
      </c>
      <c r="D122" s="22">
        <f t="shared" si="33"/>
        <v>3160.4</v>
      </c>
      <c r="E122" s="75">
        <f t="shared" si="33"/>
        <v>3469.2</v>
      </c>
      <c r="F122" s="75">
        <f t="shared" si="33"/>
        <v>18881</v>
      </c>
      <c r="G122" s="75">
        <f t="shared" si="33"/>
        <v>12342.599999999999</v>
      </c>
      <c r="H122" s="75">
        <f t="shared" si="33"/>
        <v>17172.2</v>
      </c>
      <c r="I122" s="110">
        <f t="shared" si="20"/>
        <v>0.027762404049802642</v>
      </c>
      <c r="J122" s="110">
        <f t="shared" si="23"/>
        <v>5.442465121641877</v>
      </c>
      <c r="K122" s="75">
        <f t="shared" si="24"/>
        <v>15411.8</v>
      </c>
      <c r="L122" s="110">
        <f t="shared" si="21"/>
        <v>0.01973530205600447</v>
      </c>
      <c r="M122" s="110">
        <f t="shared" si="25"/>
        <v>0.6537047825856681</v>
      </c>
      <c r="N122" s="75">
        <f t="shared" si="26"/>
        <v>-6538.4000000000015</v>
      </c>
      <c r="O122" s="110">
        <f t="shared" si="22"/>
        <v>0.026725470732899992</v>
      </c>
      <c r="P122" s="110">
        <f t="shared" si="27"/>
        <v>1.391295189020142</v>
      </c>
      <c r="Q122" s="75">
        <f t="shared" si="28"/>
        <v>4829.600000000002</v>
      </c>
      <c r="R122" s="111">
        <f t="shared" si="29"/>
        <v>3.069407528428719</v>
      </c>
      <c r="T122" s="113">
        <v>680092.4</v>
      </c>
      <c r="U122" s="114">
        <v>625407.2</v>
      </c>
      <c r="V122" s="114">
        <v>642540.6</v>
      </c>
    </row>
    <row r="123" spans="1:22" ht="18.75" hidden="1">
      <c r="A123" s="77"/>
      <c r="B123" s="78" t="s">
        <v>121</v>
      </c>
      <c r="C123" s="79"/>
      <c r="D123" s="21"/>
      <c r="E123" s="80"/>
      <c r="F123" s="80"/>
      <c r="G123" s="80"/>
      <c r="H123" s="80"/>
      <c r="I123" s="115">
        <f t="shared" si="20"/>
        <v>0</v>
      </c>
      <c r="J123" s="115" t="e">
        <f t="shared" si="23"/>
        <v>#DIV/0!</v>
      </c>
      <c r="K123" s="80">
        <f t="shared" si="24"/>
        <v>0</v>
      </c>
      <c r="L123" s="115">
        <f t="shared" si="21"/>
        <v>0</v>
      </c>
      <c r="M123" s="115" t="e">
        <f t="shared" si="25"/>
        <v>#DIV/0!</v>
      </c>
      <c r="N123" s="80">
        <f t="shared" si="26"/>
        <v>0</v>
      </c>
      <c r="O123" s="115">
        <f t="shared" si="22"/>
        <v>0</v>
      </c>
      <c r="P123" s="115" t="e">
        <f t="shared" si="27"/>
        <v>#DIV/0!</v>
      </c>
      <c r="Q123" s="80">
        <f t="shared" si="28"/>
        <v>0</v>
      </c>
      <c r="R123" s="116">
        <f t="shared" si="29"/>
        <v>0</v>
      </c>
      <c r="T123" s="117">
        <v>680092.4</v>
      </c>
      <c r="U123" s="118">
        <v>625407.2</v>
      </c>
      <c r="V123" s="118">
        <v>642540.6</v>
      </c>
    </row>
    <row r="124" spans="1:22" ht="24.75" customHeight="1">
      <c r="A124" s="77"/>
      <c r="B124" s="78" t="s">
        <v>140</v>
      </c>
      <c r="C124" s="79">
        <v>758</v>
      </c>
      <c r="D124" s="21">
        <v>732.1</v>
      </c>
      <c r="E124" s="80">
        <f>868.4</f>
        <v>868.4</v>
      </c>
      <c r="F124" s="80">
        <f>910</f>
        <v>910</v>
      </c>
      <c r="G124" s="80">
        <f>943.3</f>
        <v>943.3</v>
      </c>
      <c r="H124" s="80">
        <f>977.8</f>
        <v>977.8</v>
      </c>
      <c r="I124" s="115">
        <f t="shared" si="20"/>
        <v>0.0013380534762629313</v>
      </c>
      <c r="J124" s="115">
        <f t="shared" si="23"/>
        <v>1.0479041916167664</v>
      </c>
      <c r="K124" s="80">
        <f t="shared" si="24"/>
        <v>41.60000000000002</v>
      </c>
      <c r="L124" s="115">
        <f t="shared" si="21"/>
        <v>0.0015082973141338956</v>
      </c>
      <c r="M124" s="115">
        <f t="shared" si="25"/>
        <v>1.0365934065934066</v>
      </c>
      <c r="N124" s="80">
        <f t="shared" si="26"/>
        <v>33.299999999999955</v>
      </c>
      <c r="O124" s="115">
        <f t="shared" si="22"/>
        <v>0.0015217715425297638</v>
      </c>
      <c r="P124" s="115">
        <f t="shared" si="27"/>
        <v>1.0365737305205132</v>
      </c>
      <c r="Q124" s="80">
        <f t="shared" si="28"/>
        <v>34.5</v>
      </c>
      <c r="R124" s="116">
        <f t="shared" si="29"/>
        <v>0.14793500613686428</v>
      </c>
      <c r="T124" s="117">
        <v>680092.4</v>
      </c>
      <c r="U124" s="118">
        <v>625407.2</v>
      </c>
      <c r="V124" s="118">
        <v>642540.6</v>
      </c>
    </row>
    <row r="125" spans="1:22" ht="50.25" customHeight="1">
      <c r="A125" s="77"/>
      <c r="B125" s="78" t="s">
        <v>134</v>
      </c>
      <c r="C125" s="79">
        <f>2663.9</f>
        <v>2663.9</v>
      </c>
      <c r="D125" s="21">
        <v>2428.3</v>
      </c>
      <c r="E125" s="80">
        <f>2010.8</f>
        <v>2010.8</v>
      </c>
      <c r="F125" s="80">
        <f>17971-590</f>
        <v>17381</v>
      </c>
      <c r="G125" s="80">
        <f>2699.3+8700-200</f>
        <v>11199.3</v>
      </c>
      <c r="H125" s="80">
        <f>2794.4+13400-200</f>
        <v>15994.4</v>
      </c>
      <c r="I125" s="115">
        <f t="shared" si="20"/>
        <v>0.02555682139662199</v>
      </c>
      <c r="J125" s="115">
        <f t="shared" si="23"/>
        <v>8.643823353889</v>
      </c>
      <c r="K125" s="80">
        <f t="shared" si="24"/>
        <v>15370.2</v>
      </c>
      <c r="L125" s="115">
        <f t="shared" si="21"/>
        <v>0.017907213092525957</v>
      </c>
      <c r="M125" s="115">
        <f t="shared" si="25"/>
        <v>0.6443415223519935</v>
      </c>
      <c r="N125" s="80">
        <f t="shared" si="26"/>
        <v>-6181.700000000001</v>
      </c>
      <c r="O125" s="115">
        <f t="shared" si="22"/>
        <v>0.024892434812679543</v>
      </c>
      <c r="P125" s="115">
        <f t="shared" si="27"/>
        <v>1.428160688614467</v>
      </c>
      <c r="Q125" s="80">
        <f t="shared" si="28"/>
        <v>4795.1</v>
      </c>
      <c r="R125" s="116">
        <f t="shared" si="29"/>
        <v>2.8255586172141074</v>
      </c>
      <c r="T125" s="117">
        <v>680092.4</v>
      </c>
      <c r="U125" s="118">
        <v>625407.2</v>
      </c>
      <c r="V125" s="118">
        <v>642540.6</v>
      </c>
    </row>
    <row r="126" spans="1:22" ht="42.75" customHeight="1">
      <c r="A126" s="77"/>
      <c r="B126" s="78" t="s">
        <v>266</v>
      </c>
      <c r="C126" s="79">
        <v>754</v>
      </c>
      <c r="D126" s="21">
        <v>0</v>
      </c>
      <c r="E126" s="80">
        <f>590</f>
        <v>590</v>
      </c>
      <c r="F126" s="80">
        <f>0+590</f>
        <v>590</v>
      </c>
      <c r="G126" s="80">
        <f>0+200</f>
        <v>200</v>
      </c>
      <c r="H126" s="80">
        <f>0+200</f>
        <v>200</v>
      </c>
      <c r="I126" s="115">
        <f t="shared" si="20"/>
        <v>0.0008675291769177246</v>
      </c>
      <c r="J126" s="115">
        <f t="shared" si="23"/>
        <v>1</v>
      </c>
      <c r="K126" s="80">
        <f t="shared" si="24"/>
        <v>0</v>
      </c>
      <c r="L126" s="115">
        <f t="shared" si="21"/>
        <v>0.000319791649344619</v>
      </c>
      <c r="M126" s="115">
        <f t="shared" si="25"/>
        <v>0.3389830508474576</v>
      </c>
      <c r="N126" s="80">
        <f t="shared" si="26"/>
        <v>-390</v>
      </c>
      <c r="O126" s="115">
        <f t="shared" si="22"/>
        <v>0.000311264377690686</v>
      </c>
      <c r="P126" s="115">
        <f t="shared" si="27"/>
        <v>1</v>
      </c>
      <c r="Q126" s="80">
        <f t="shared" si="28"/>
        <v>0</v>
      </c>
      <c r="R126" s="116">
        <f t="shared" si="29"/>
        <v>0.09591390507774716</v>
      </c>
      <c r="T126" s="117">
        <v>680092.4</v>
      </c>
      <c r="U126" s="118">
        <v>625407.2</v>
      </c>
      <c r="V126" s="118">
        <v>642540.6</v>
      </c>
    </row>
    <row r="127" spans="1:22" s="28" customFormat="1" ht="19.5" hidden="1">
      <c r="A127" s="1" t="s">
        <v>141</v>
      </c>
      <c r="B127" s="2" t="s">
        <v>142</v>
      </c>
      <c r="C127" s="3">
        <v>45588.7</v>
      </c>
      <c r="D127" s="21">
        <v>0</v>
      </c>
      <c r="E127" s="10">
        <v>0</v>
      </c>
      <c r="F127" s="10">
        <v>0</v>
      </c>
      <c r="G127" s="10">
        <v>0</v>
      </c>
      <c r="H127" s="10">
        <v>0</v>
      </c>
      <c r="I127" s="119">
        <f t="shared" si="20"/>
        <v>0</v>
      </c>
      <c r="J127" s="119" t="e">
        <f t="shared" si="23"/>
        <v>#DIV/0!</v>
      </c>
      <c r="K127" s="10">
        <f t="shared" si="24"/>
        <v>0</v>
      </c>
      <c r="L127" s="119">
        <f t="shared" si="21"/>
        <v>0</v>
      </c>
      <c r="M127" s="119" t="e">
        <f t="shared" si="25"/>
        <v>#DIV/0!</v>
      </c>
      <c r="N127" s="10">
        <f t="shared" si="26"/>
        <v>0</v>
      </c>
      <c r="O127" s="119">
        <f t="shared" si="22"/>
        <v>0</v>
      </c>
      <c r="P127" s="119" t="e">
        <f t="shared" si="27"/>
        <v>#DIV/0!</v>
      </c>
      <c r="Q127" s="10">
        <f t="shared" si="28"/>
        <v>0</v>
      </c>
      <c r="R127" s="120">
        <f t="shared" si="29"/>
        <v>0</v>
      </c>
      <c r="T127" s="117">
        <v>680092.4</v>
      </c>
      <c r="U127" s="118">
        <v>625407.2</v>
      </c>
      <c r="V127" s="118">
        <v>642540.6</v>
      </c>
    </row>
    <row r="128" spans="1:22" ht="19.5" hidden="1">
      <c r="A128" s="1" t="s">
        <v>143</v>
      </c>
      <c r="B128" s="2" t="s">
        <v>144</v>
      </c>
      <c r="C128" s="3"/>
      <c r="D128" s="21"/>
      <c r="E128" s="10"/>
      <c r="F128" s="10"/>
      <c r="G128" s="10"/>
      <c r="H128" s="10"/>
      <c r="I128" s="119">
        <f t="shared" si="20"/>
        <v>0</v>
      </c>
      <c r="J128" s="119" t="e">
        <f t="shared" si="23"/>
        <v>#DIV/0!</v>
      </c>
      <c r="K128" s="10">
        <f t="shared" si="24"/>
        <v>0</v>
      </c>
      <c r="L128" s="119">
        <f t="shared" si="21"/>
        <v>0</v>
      </c>
      <c r="M128" s="119" t="e">
        <f t="shared" si="25"/>
        <v>#DIV/0!</v>
      </c>
      <c r="N128" s="10">
        <f t="shared" si="26"/>
        <v>0</v>
      </c>
      <c r="O128" s="119">
        <f t="shared" si="22"/>
        <v>0</v>
      </c>
      <c r="P128" s="119" t="e">
        <f t="shared" si="27"/>
        <v>#DIV/0!</v>
      </c>
      <c r="Q128" s="10">
        <f t="shared" si="28"/>
        <v>0</v>
      </c>
      <c r="R128" s="120">
        <f t="shared" si="29"/>
        <v>0</v>
      </c>
      <c r="T128" s="117">
        <v>680092.4</v>
      </c>
      <c r="U128" s="118">
        <v>625407.2</v>
      </c>
      <c r="V128" s="118">
        <v>642540.6</v>
      </c>
    </row>
    <row r="129" spans="1:22" ht="37.5" hidden="1">
      <c r="A129" s="1" t="s">
        <v>145</v>
      </c>
      <c r="B129" s="2" t="s">
        <v>146</v>
      </c>
      <c r="C129" s="3"/>
      <c r="D129" s="21"/>
      <c r="E129" s="10"/>
      <c r="F129" s="10"/>
      <c r="G129" s="10"/>
      <c r="H129" s="10"/>
      <c r="I129" s="119">
        <f t="shared" si="20"/>
        <v>0</v>
      </c>
      <c r="J129" s="119" t="e">
        <f t="shared" si="23"/>
        <v>#DIV/0!</v>
      </c>
      <c r="K129" s="10">
        <f t="shared" si="24"/>
        <v>0</v>
      </c>
      <c r="L129" s="119">
        <f t="shared" si="21"/>
        <v>0</v>
      </c>
      <c r="M129" s="119" t="e">
        <f t="shared" si="25"/>
        <v>#DIV/0!</v>
      </c>
      <c r="N129" s="10">
        <f t="shared" si="26"/>
        <v>0</v>
      </c>
      <c r="O129" s="119">
        <f t="shared" si="22"/>
        <v>0</v>
      </c>
      <c r="P129" s="119" t="e">
        <f t="shared" si="27"/>
        <v>#DIV/0!</v>
      </c>
      <c r="Q129" s="10">
        <f t="shared" si="28"/>
        <v>0</v>
      </c>
      <c r="R129" s="120">
        <f t="shared" si="29"/>
        <v>0</v>
      </c>
      <c r="T129" s="117">
        <v>680092.4</v>
      </c>
      <c r="U129" s="118">
        <v>625407.2</v>
      </c>
      <c r="V129" s="118">
        <v>642540.6</v>
      </c>
    </row>
    <row r="130" spans="1:22" ht="37.5" hidden="1">
      <c r="A130" s="1" t="s">
        <v>147</v>
      </c>
      <c r="B130" s="2" t="s">
        <v>148</v>
      </c>
      <c r="C130" s="3"/>
      <c r="D130" s="21"/>
      <c r="E130" s="10"/>
      <c r="F130" s="10"/>
      <c r="G130" s="10"/>
      <c r="H130" s="10"/>
      <c r="I130" s="119">
        <f t="shared" si="20"/>
        <v>0</v>
      </c>
      <c r="J130" s="119" t="e">
        <f t="shared" si="23"/>
        <v>#DIV/0!</v>
      </c>
      <c r="K130" s="10">
        <f t="shared" si="24"/>
        <v>0</v>
      </c>
      <c r="L130" s="119">
        <f t="shared" si="21"/>
        <v>0</v>
      </c>
      <c r="M130" s="119" t="e">
        <f t="shared" si="25"/>
        <v>#DIV/0!</v>
      </c>
      <c r="N130" s="10">
        <f t="shared" si="26"/>
        <v>0</v>
      </c>
      <c r="O130" s="119">
        <f t="shared" si="22"/>
        <v>0</v>
      </c>
      <c r="P130" s="119" t="e">
        <f t="shared" si="27"/>
        <v>#DIV/0!</v>
      </c>
      <c r="Q130" s="10">
        <f t="shared" si="28"/>
        <v>0</v>
      </c>
      <c r="R130" s="120">
        <f t="shared" si="29"/>
        <v>0</v>
      </c>
      <c r="T130" s="117">
        <v>680092.4</v>
      </c>
      <c r="U130" s="118">
        <v>625407.2</v>
      </c>
      <c r="V130" s="118">
        <v>642540.6</v>
      </c>
    </row>
    <row r="131" spans="1:22" ht="39" hidden="1">
      <c r="A131" s="1" t="s">
        <v>149</v>
      </c>
      <c r="B131" s="2" t="s">
        <v>150</v>
      </c>
      <c r="C131" s="3" t="s">
        <v>151</v>
      </c>
      <c r="D131" s="21" t="s">
        <v>151</v>
      </c>
      <c r="E131" s="10" t="s">
        <v>151</v>
      </c>
      <c r="F131" s="10" t="s">
        <v>151</v>
      </c>
      <c r="G131" s="10" t="s">
        <v>151</v>
      </c>
      <c r="H131" s="10" t="s">
        <v>151</v>
      </c>
      <c r="I131" s="119" t="e">
        <f t="shared" si="20"/>
        <v>#VALUE!</v>
      </c>
      <c r="J131" s="119" t="e">
        <f t="shared" si="23"/>
        <v>#VALUE!</v>
      </c>
      <c r="K131" s="10" t="e">
        <f t="shared" si="24"/>
        <v>#VALUE!</v>
      </c>
      <c r="L131" s="119" t="e">
        <f t="shared" si="21"/>
        <v>#VALUE!</v>
      </c>
      <c r="M131" s="119" t="e">
        <f t="shared" si="25"/>
        <v>#VALUE!</v>
      </c>
      <c r="N131" s="10" t="e">
        <f t="shared" si="26"/>
        <v>#VALUE!</v>
      </c>
      <c r="O131" s="119" t="e">
        <f t="shared" si="22"/>
        <v>#VALUE!</v>
      </c>
      <c r="P131" s="119" t="e">
        <f t="shared" si="27"/>
        <v>#VALUE!</v>
      </c>
      <c r="Q131" s="10" t="e">
        <f t="shared" si="28"/>
        <v>#VALUE!</v>
      </c>
      <c r="R131" s="120" t="e">
        <f t="shared" si="29"/>
        <v>#VALUE!</v>
      </c>
      <c r="T131" s="117">
        <v>680092.4</v>
      </c>
      <c r="U131" s="118">
        <v>625407.2</v>
      </c>
      <c r="V131" s="118">
        <v>642540.6</v>
      </c>
    </row>
    <row r="132" spans="1:22" ht="19.5" hidden="1">
      <c r="A132" s="1"/>
      <c r="B132" s="2" t="s">
        <v>121</v>
      </c>
      <c r="C132" s="3"/>
      <c r="D132" s="21"/>
      <c r="E132" s="10"/>
      <c r="F132" s="10"/>
      <c r="G132" s="10"/>
      <c r="H132" s="10"/>
      <c r="I132" s="119">
        <f t="shared" si="20"/>
        <v>0</v>
      </c>
      <c r="J132" s="119" t="e">
        <f t="shared" si="23"/>
        <v>#DIV/0!</v>
      </c>
      <c r="K132" s="10">
        <f t="shared" si="24"/>
        <v>0</v>
      </c>
      <c r="L132" s="119">
        <f t="shared" si="21"/>
        <v>0</v>
      </c>
      <c r="M132" s="119" t="e">
        <f t="shared" si="25"/>
        <v>#DIV/0!</v>
      </c>
      <c r="N132" s="10">
        <f t="shared" si="26"/>
        <v>0</v>
      </c>
      <c r="O132" s="119">
        <f t="shared" si="22"/>
        <v>0</v>
      </c>
      <c r="P132" s="119" t="e">
        <f t="shared" si="27"/>
        <v>#DIV/0!</v>
      </c>
      <c r="Q132" s="10">
        <f t="shared" si="28"/>
        <v>0</v>
      </c>
      <c r="R132" s="120">
        <f t="shared" si="29"/>
        <v>0</v>
      </c>
      <c r="T132" s="117">
        <v>680092.4</v>
      </c>
      <c r="U132" s="118">
        <v>625407.2</v>
      </c>
      <c r="V132" s="118">
        <v>642540.6</v>
      </c>
    </row>
    <row r="133" spans="1:22" ht="19.5" hidden="1">
      <c r="A133" s="1"/>
      <c r="B133" s="2" t="s">
        <v>133</v>
      </c>
      <c r="C133" s="3"/>
      <c r="D133" s="21"/>
      <c r="E133" s="10"/>
      <c r="F133" s="10"/>
      <c r="G133" s="10"/>
      <c r="H133" s="10"/>
      <c r="I133" s="119">
        <f t="shared" si="20"/>
        <v>0</v>
      </c>
      <c r="J133" s="119" t="e">
        <f t="shared" si="23"/>
        <v>#DIV/0!</v>
      </c>
      <c r="K133" s="10">
        <f t="shared" si="24"/>
        <v>0</v>
      </c>
      <c r="L133" s="119">
        <f t="shared" si="21"/>
        <v>0</v>
      </c>
      <c r="M133" s="119" t="e">
        <f t="shared" si="25"/>
        <v>#DIV/0!</v>
      </c>
      <c r="N133" s="10">
        <f t="shared" si="26"/>
        <v>0</v>
      </c>
      <c r="O133" s="119">
        <f t="shared" si="22"/>
        <v>0</v>
      </c>
      <c r="P133" s="119" t="e">
        <f t="shared" si="27"/>
        <v>#DIV/0!</v>
      </c>
      <c r="Q133" s="10">
        <f t="shared" si="28"/>
        <v>0</v>
      </c>
      <c r="R133" s="120">
        <f t="shared" si="29"/>
        <v>0</v>
      </c>
      <c r="T133" s="117">
        <v>680092.4</v>
      </c>
      <c r="U133" s="118">
        <v>625407.2</v>
      </c>
      <c r="V133" s="118">
        <v>642540.6</v>
      </c>
    </row>
    <row r="134" spans="1:22" ht="19.5" hidden="1">
      <c r="A134" s="1"/>
      <c r="B134" s="2" t="s">
        <v>89</v>
      </c>
      <c r="C134" s="3"/>
      <c r="D134" s="21"/>
      <c r="E134" s="10"/>
      <c r="F134" s="10"/>
      <c r="G134" s="10"/>
      <c r="H134" s="10"/>
      <c r="I134" s="119">
        <f t="shared" si="20"/>
        <v>0</v>
      </c>
      <c r="J134" s="119" t="e">
        <f t="shared" si="23"/>
        <v>#DIV/0!</v>
      </c>
      <c r="K134" s="10">
        <f t="shared" si="24"/>
        <v>0</v>
      </c>
      <c r="L134" s="119">
        <f t="shared" si="21"/>
        <v>0</v>
      </c>
      <c r="M134" s="119" t="e">
        <f t="shared" si="25"/>
        <v>#DIV/0!</v>
      </c>
      <c r="N134" s="10">
        <f t="shared" si="26"/>
        <v>0</v>
      </c>
      <c r="O134" s="119">
        <f t="shared" si="22"/>
        <v>0</v>
      </c>
      <c r="P134" s="119" t="e">
        <f t="shared" si="27"/>
        <v>#DIV/0!</v>
      </c>
      <c r="Q134" s="10">
        <f t="shared" si="28"/>
        <v>0</v>
      </c>
      <c r="R134" s="120">
        <f t="shared" si="29"/>
        <v>0</v>
      </c>
      <c r="T134" s="117">
        <v>680092.4</v>
      </c>
      <c r="U134" s="118">
        <v>625407.2</v>
      </c>
      <c r="V134" s="118">
        <v>642540.6</v>
      </c>
    </row>
    <row r="135" spans="1:22" s="108" customFormat="1" ht="36.75" customHeight="1">
      <c r="A135" s="81" t="s">
        <v>152</v>
      </c>
      <c r="B135" s="82" t="s">
        <v>153</v>
      </c>
      <c r="C135" s="83">
        <f aca="true" t="shared" si="34" ref="C135:H135">C136+C137+C142</f>
        <v>27892.1</v>
      </c>
      <c r="D135" s="76">
        <f t="shared" si="34"/>
        <v>15813.199999999999</v>
      </c>
      <c r="E135" s="85">
        <f t="shared" si="34"/>
        <v>20584</v>
      </c>
      <c r="F135" s="85">
        <f t="shared" si="34"/>
        <v>19916.600000000002</v>
      </c>
      <c r="G135" s="85">
        <f t="shared" si="34"/>
        <v>20438.7</v>
      </c>
      <c r="H135" s="85">
        <f t="shared" si="34"/>
        <v>20964.600000000002</v>
      </c>
      <c r="I135" s="104">
        <f aca="true" t="shared" si="35" ref="I135:I162">F135/T135</f>
        <v>0.02928513831355857</v>
      </c>
      <c r="J135" s="104">
        <f t="shared" si="23"/>
        <v>0.9675767586474933</v>
      </c>
      <c r="K135" s="85">
        <f t="shared" si="24"/>
        <v>-667.3999999999978</v>
      </c>
      <c r="L135" s="104">
        <f aca="true" t="shared" si="36" ref="L135:L162">G135/U135</f>
        <v>0.032680627917299324</v>
      </c>
      <c r="M135" s="104">
        <f t="shared" si="25"/>
        <v>1.0262143136880792</v>
      </c>
      <c r="N135" s="85">
        <f t="shared" si="26"/>
        <v>522.0999999999985</v>
      </c>
      <c r="O135" s="104">
        <f aca="true" t="shared" si="37" ref="O135:O162">H135/V135</f>
        <v>0.03262766586267078</v>
      </c>
      <c r="P135" s="104">
        <f t="shared" si="27"/>
        <v>1.0257305993042611</v>
      </c>
      <c r="Q135" s="85">
        <f t="shared" si="28"/>
        <v>525.9000000000015</v>
      </c>
      <c r="R135" s="105">
        <f t="shared" si="29"/>
        <v>3.237760816731287</v>
      </c>
      <c r="S135" s="105">
        <f>F135/E135*100</f>
        <v>96.75767586474933</v>
      </c>
      <c r="T135" s="106">
        <v>680092.4</v>
      </c>
      <c r="U135" s="107">
        <v>625407.2</v>
      </c>
      <c r="V135" s="107">
        <v>642540.6</v>
      </c>
    </row>
    <row r="136" spans="1:22" s="112" customFormat="1" ht="46.5" customHeight="1">
      <c r="A136" s="93" t="s">
        <v>154</v>
      </c>
      <c r="B136" s="5" t="s">
        <v>267</v>
      </c>
      <c r="C136" s="3">
        <f>1100</f>
        <v>1100</v>
      </c>
      <c r="D136" s="22">
        <v>800</v>
      </c>
      <c r="E136" s="75">
        <f>1100</f>
        <v>1100</v>
      </c>
      <c r="F136" s="75">
        <v>1400</v>
      </c>
      <c r="G136" s="75">
        <v>1400</v>
      </c>
      <c r="H136" s="75">
        <v>1400</v>
      </c>
      <c r="I136" s="110">
        <f t="shared" si="35"/>
        <v>0.002058543809635279</v>
      </c>
      <c r="J136" s="110">
        <f t="shared" si="23"/>
        <v>1.2727272727272727</v>
      </c>
      <c r="K136" s="75">
        <f t="shared" si="24"/>
        <v>300</v>
      </c>
      <c r="L136" s="110">
        <f t="shared" si="36"/>
        <v>0.002238541545412333</v>
      </c>
      <c r="M136" s="110">
        <f t="shared" si="25"/>
        <v>1</v>
      </c>
      <c r="N136" s="75">
        <f t="shared" si="26"/>
        <v>0</v>
      </c>
      <c r="O136" s="110">
        <f t="shared" si="37"/>
        <v>0.0021788506438348023</v>
      </c>
      <c r="P136" s="110">
        <f t="shared" si="27"/>
        <v>1</v>
      </c>
      <c r="Q136" s="75">
        <f t="shared" si="28"/>
        <v>0</v>
      </c>
      <c r="R136" s="111">
        <f t="shared" si="29"/>
        <v>0.22759231713363734</v>
      </c>
      <c r="T136" s="113">
        <v>680092.4</v>
      </c>
      <c r="U136" s="114">
        <v>625407.2</v>
      </c>
      <c r="V136" s="114">
        <v>642540.6</v>
      </c>
    </row>
    <row r="137" spans="1:22" s="112" customFormat="1" ht="34.5" customHeight="1">
      <c r="A137" s="93" t="s">
        <v>155</v>
      </c>
      <c r="B137" s="5" t="s">
        <v>268</v>
      </c>
      <c r="C137" s="3">
        <f aca="true" t="shared" si="38" ref="C137:H137">C138+C139+C140+C141</f>
        <v>24779</v>
      </c>
      <c r="D137" s="22">
        <f t="shared" si="38"/>
        <v>11829.3</v>
      </c>
      <c r="E137" s="75">
        <f t="shared" si="38"/>
        <v>15861.1</v>
      </c>
      <c r="F137" s="75">
        <f t="shared" si="38"/>
        <v>14589.2</v>
      </c>
      <c r="G137" s="75">
        <f t="shared" si="38"/>
        <v>15111.3</v>
      </c>
      <c r="H137" s="75">
        <f t="shared" si="38"/>
        <v>15637.2</v>
      </c>
      <c r="I137" s="110">
        <f t="shared" si="35"/>
        <v>0.02145179096252215</v>
      </c>
      <c r="J137" s="110">
        <f t="shared" si="23"/>
        <v>0.9198101014431534</v>
      </c>
      <c r="K137" s="75">
        <f t="shared" si="24"/>
        <v>-1271.8999999999996</v>
      </c>
      <c r="L137" s="110">
        <f t="shared" si="36"/>
        <v>0.024162337753706707</v>
      </c>
      <c r="M137" s="110">
        <f t="shared" si="25"/>
        <v>1.0357867463603212</v>
      </c>
      <c r="N137" s="75">
        <f t="shared" si="26"/>
        <v>522.0999999999985</v>
      </c>
      <c r="O137" s="110">
        <f t="shared" si="37"/>
        <v>0.024336516634123978</v>
      </c>
      <c r="P137" s="110">
        <f t="shared" si="27"/>
        <v>1.0348017708602173</v>
      </c>
      <c r="Q137" s="75">
        <f t="shared" si="28"/>
        <v>525.9000000000015</v>
      </c>
      <c r="R137" s="111">
        <f t="shared" si="29"/>
        <v>2.3717070236614726</v>
      </c>
      <c r="T137" s="113">
        <v>680092.4</v>
      </c>
      <c r="U137" s="114">
        <v>625407.2</v>
      </c>
      <c r="V137" s="114">
        <v>642540.6</v>
      </c>
    </row>
    <row r="138" spans="1:22" ht="27" customHeight="1">
      <c r="A138" s="77"/>
      <c r="B138" s="78" t="s">
        <v>269</v>
      </c>
      <c r="C138" s="79">
        <f>23363.4</f>
        <v>23363.4</v>
      </c>
      <c r="D138" s="21">
        <v>11749.3</v>
      </c>
      <c r="E138" s="80">
        <f>15816.1</f>
        <v>15816.1</v>
      </c>
      <c r="F138" s="80">
        <v>14504.2</v>
      </c>
      <c r="G138" s="80">
        <v>15026.3</v>
      </c>
      <c r="H138" s="80">
        <v>15552.2</v>
      </c>
      <c r="I138" s="115">
        <f t="shared" si="35"/>
        <v>0.02132680794550858</v>
      </c>
      <c r="J138" s="115">
        <f t="shared" si="23"/>
        <v>0.9170528764992635</v>
      </c>
      <c r="K138" s="80">
        <f t="shared" si="24"/>
        <v>-1311.8999999999996</v>
      </c>
      <c r="L138" s="115">
        <f t="shared" si="36"/>
        <v>0.024026426302735243</v>
      </c>
      <c r="M138" s="115">
        <f t="shared" si="25"/>
        <v>1.0359964699880033</v>
      </c>
      <c r="N138" s="80">
        <f t="shared" si="26"/>
        <v>522.0999999999985</v>
      </c>
      <c r="O138" s="115">
        <f t="shared" si="37"/>
        <v>0.024204229273605438</v>
      </c>
      <c r="P138" s="115">
        <f t="shared" si="27"/>
        <v>1.0349986357253615</v>
      </c>
      <c r="Q138" s="80">
        <f t="shared" si="28"/>
        <v>525.9000000000015</v>
      </c>
      <c r="R138" s="116">
        <f t="shared" si="29"/>
        <v>2.357888918692645</v>
      </c>
      <c r="T138" s="117">
        <v>680092.4</v>
      </c>
      <c r="U138" s="118">
        <v>625407.2</v>
      </c>
      <c r="V138" s="118">
        <v>642540.6</v>
      </c>
    </row>
    <row r="139" spans="1:22" ht="78" customHeight="1">
      <c r="A139" s="77"/>
      <c r="B139" s="78" t="s">
        <v>270</v>
      </c>
      <c r="C139" s="79">
        <v>1315.6</v>
      </c>
      <c r="D139" s="21">
        <v>80</v>
      </c>
      <c r="E139" s="80">
        <f>35</f>
        <v>35</v>
      </c>
      <c r="F139" s="80">
        <v>55</v>
      </c>
      <c r="G139" s="80">
        <v>55</v>
      </c>
      <c r="H139" s="80">
        <v>55</v>
      </c>
      <c r="I139" s="115">
        <f t="shared" si="35"/>
        <v>8.087136394995739E-05</v>
      </c>
      <c r="J139" s="115">
        <f t="shared" si="23"/>
        <v>1.5714285714285714</v>
      </c>
      <c r="K139" s="80">
        <f t="shared" si="24"/>
        <v>20</v>
      </c>
      <c r="L139" s="115">
        <f t="shared" si="36"/>
        <v>8.794270356977023E-05</v>
      </c>
      <c r="M139" s="115">
        <f t="shared" si="25"/>
        <v>1</v>
      </c>
      <c r="N139" s="80">
        <f t="shared" si="26"/>
        <v>0</v>
      </c>
      <c r="O139" s="115">
        <f t="shared" si="37"/>
        <v>8.559770386493865E-05</v>
      </c>
      <c r="P139" s="115">
        <f t="shared" si="27"/>
        <v>1</v>
      </c>
      <c r="Q139" s="80">
        <f t="shared" si="28"/>
        <v>0</v>
      </c>
      <c r="R139" s="116">
        <f t="shared" si="29"/>
        <v>0.008941126744535753</v>
      </c>
      <c r="T139" s="117">
        <v>680092.4</v>
      </c>
      <c r="U139" s="118">
        <v>625407.2</v>
      </c>
      <c r="V139" s="118">
        <v>642540.6</v>
      </c>
    </row>
    <row r="140" spans="1:22" ht="18.75" hidden="1">
      <c r="A140" s="77"/>
      <c r="B140" s="78" t="s">
        <v>156</v>
      </c>
      <c r="C140" s="79"/>
      <c r="D140" s="21"/>
      <c r="E140" s="80"/>
      <c r="F140" s="80"/>
      <c r="G140" s="80"/>
      <c r="H140" s="80"/>
      <c r="I140" s="115">
        <f t="shared" si="35"/>
        <v>0</v>
      </c>
      <c r="J140" s="115" t="e">
        <f t="shared" si="23"/>
        <v>#DIV/0!</v>
      </c>
      <c r="K140" s="80">
        <f t="shared" si="24"/>
        <v>0</v>
      </c>
      <c r="L140" s="115">
        <f t="shared" si="36"/>
        <v>0</v>
      </c>
      <c r="M140" s="115" t="e">
        <f t="shared" si="25"/>
        <v>#DIV/0!</v>
      </c>
      <c r="N140" s="80">
        <f t="shared" si="26"/>
        <v>0</v>
      </c>
      <c r="O140" s="115">
        <f t="shared" si="37"/>
        <v>0</v>
      </c>
      <c r="P140" s="115" t="e">
        <f t="shared" si="27"/>
        <v>#DIV/0!</v>
      </c>
      <c r="Q140" s="80">
        <f t="shared" si="28"/>
        <v>0</v>
      </c>
      <c r="R140" s="116">
        <f t="shared" si="29"/>
        <v>0</v>
      </c>
      <c r="T140" s="117">
        <v>680092.4</v>
      </c>
      <c r="U140" s="118">
        <v>625407.2</v>
      </c>
      <c r="V140" s="118">
        <v>642540.6</v>
      </c>
    </row>
    <row r="141" spans="1:22" ht="89.25" customHeight="1">
      <c r="A141" s="77"/>
      <c r="B141" s="78" t="s">
        <v>271</v>
      </c>
      <c r="C141" s="79">
        <v>100</v>
      </c>
      <c r="D141" s="21">
        <v>0</v>
      </c>
      <c r="E141" s="80">
        <f>10</f>
        <v>10</v>
      </c>
      <c r="F141" s="80">
        <v>30</v>
      </c>
      <c r="G141" s="80">
        <v>30</v>
      </c>
      <c r="H141" s="80">
        <v>30</v>
      </c>
      <c r="I141" s="115">
        <f t="shared" si="35"/>
        <v>4.411165306361312E-05</v>
      </c>
      <c r="J141" s="115">
        <f aca="true" t="shared" si="39" ref="J141:J162">F141/E141</f>
        <v>3</v>
      </c>
      <c r="K141" s="80">
        <f aca="true" t="shared" si="40" ref="K141:K162">F141-E141</f>
        <v>20</v>
      </c>
      <c r="L141" s="115">
        <f t="shared" si="36"/>
        <v>4.7968747401692855E-05</v>
      </c>
      <c r="M141" s="115">
        <f aca="true" t="shared" si="41" ref="M141:M162">G141/F141</f>
        <v>1</v>
      </c>
      <c r="N141" s="80">
        <f aca="true" t="shared" si="42" ref="N141:N162">G141-F141</f>
        <v>0</v>
      </c>
      <c r="O141" s="115">
        <f t="shared" si="37"/>
        <v>4.6689656653602905E-05</v>
      </c>
      <c r="P141" s="115">
        <f aca="true" t="shared" si="43" ref="P141:P162">H141/G141</f>
        <v>1</v>
      </c>
      <c r="Q141" s="80">
        <f aca="true" t="shared" si="44" ref="Q141:Q162">H141-G141</f>
        <v>0</v>
      </c>
      <c r="R141" s="116">
        <f t="shared" si="29"/>
        <v>0.004876978224292229</v>
      </c>
      <c r="T141" s="117">
        <v>680092.4</v>
      </c>
      <c r="U141" s="118">
        <v>625407.2</v>
      </c>
      <c r="V141" s="118">
        <v>642540.6</v>
      </c>
    </row>
    <row r="142" spans="1:22" s="112" customFormat="1" ht="34.5" customHeight="1">
      <c r="A142" s="93" t="s">
        <v>157</v>
      </c>
      <c r="B142" s="5" t="s">
        <v>10</v>
      </c>
      <c r="C142" s="3">
        <v>2013.1</v>
      </c>
      <c r="D142" s="22">
        <v>3183.9</v>
      </c>
      <c r="E142" s="75">
        <f>3566.7+56.2</f>
        <v>3622.8999999999996</v>
      </c>
      <c r="F142" s="75">
        <f>3851.4+76</f>
        <v>3927.4</v>
      </c>
      <c r="G142" s="75">
        <f>3851.4+76</f>
        <v>3927.4</v>
      </c>
      <c r="H142" s="75">
        <f>3851.4+76</f>
        <v>3927.4</v>
      </c>
      <c r="I142" s="110">
        <f t="shared" si="35"/>
        <v>0.0057748035414011386</v>
      </c>
      <c r="J142" s="110">
        <f t="shared" si="39"/>
        <v>1.084048690275746</v>
      </c>
      <c r="K142" s="75">
        <f t="shared" si="40"/>
        <v>304.50000000000045</v>
      </c>
      <c r="L142" s="110">
        <f t="shared" si="36"/>
        <v>0.006279748618180284</v>
      </c>
      <c r="M142" s="110">
        <f t="shared" si="41"/>
        <v>1</v>
      </c>
      <c r="N142" s="75">
        <f t="shared" si="42"/>
        <v>0</v>
      </c>
      <c r="O142" s="110">
        <f t="shared" si="37"/>
        <v>0.006112298584712001</v>
      </c>
      <c r="P142" s="110">
        <f t="shared" si="43"/>
        <v>1</v>
      </c>
      <c r="Q142" s="75">
        <f t="shared" si="44"/>
        <v>0</v>
      </c>
      <c r="R142" s="111">
        <f t="shared" si="29"/>
        <v>0.6384614759361766</v>
      </c>
      <c r="T142" s="113">
        <v>680092.4</v>
      </c>
      <c r="U142" s="114">
        <v>625407.2</v>
      </c>
      <c r="V142" s="114">
        <v>642540.6</v>
      </c>
    </row>
    <row r="143" spans="1:22" s="125" customFormat="1" ht="30.75" customHeight="1">
      <c r="A143" s="81" t="s">
        <v>158</v>
      </c>
      <c r="B143" s="82" t="s">
        <v>159</v>
      </c>
      <c r="C143" s="83">
        <f aca="true" t="shared" si="45" ref="C143:H143">C144+C148</f>
        <v>21836.399999999998</v>
      </c>
      <c r="D143" s="76">
        <f t="shared" si="45"/>
        <v>581.1</v>
      </c>
      <c r="E143" s="85">
        <f t="shared" si="45"/>
        <v>596.1</v>
      </c>
      <c r="F143" s="85">
        <f t="shared" si="45"/>
        <v>696</v>
      </c>
      <c r="G143" s="85">
        <f t="shared" si="45"/>
        <v>722.3</v>
      </c>
      <c r="H143" s="85">
        <f t="shared" si="45"/>
        <v>749.5</v>
      </c>
      <c r="I143" s="104">
        <f t="shared" si="35"/>
        <v>0.0010233903510758243</v>
      </c>
      <c r="J143" s="104">
        <f t="shared" si="39"/>
        <v>1.16758933064922</v>
      </c>
      <c r="K143" s="85">
        <f t="shared" si="40"/>
        <v>99.89999999999998</v>
      </c>
      <c r="L143" s="104">
        <f t="shared" si="36"/>
        <v>0.0011549275416080915</v>
      </c>
      <c r="M143" s="104">
        <f t="shared" si="41"/>
        <v>1.037787356321839</v>
      </c>
      <c r="N143" s="85">
        <f t="shared" si="42"/>
        <v>26.299999999999955</v>
      </c>
      <c r="O143" s="104">
        <f t="shared" si="37"/>
        <v>0.001166463255395846</v>
      </c>
      <c r="P143" s="104">
        <f t="shared" si="43"/>
        <v>1.037657483040288</v>
      </c>
      <c r="Q143" s="85">
        <f t="shared" si="44"/>
        <v>27.200000000000045</v>
      </c>
      <c r="R143" s="105">
        <f aca="true" t="shared" si="46" ref="R143:R169">F143/615135*100</f>
        <v>0.11314589480357971</v>
      </c>
      <c r="S143" s="105">
        <f>F143/E143*100</f>
        <v>116.758933064922</v>
      </c>
      <c r="T143" s="106">
        <v>680092.4</v>
      </c>
      <c r="U143" s="107">
        <v>625407.2</v>
      </c>
      <c r="V143" s="107">
        <v>642540.6</v>
      </c>
    </row>
    <row r="144" spans="1:22" ht="26.25" customHeight="1" hidden="1">
      <c r="A144" s="1" t="s">
        <v>160</v>
      </c>
      <c r="B144" s="2" t="s">
        <v>161</v>
      </c>
      <c r="C144" s="3">
        <f aca="true" t="shared" si="47" ref="C144:H144">C145+C146+C147</f>
        <v>20922.8</v>
      </c>
      <c r="D144" s="21">
        <f t="shared" si="47"/>
        <v>0</v>
      </c>
      <c r="E144" s="10">
        <f t="shared" si="47"/>
        <v>0</v>
      </c>
      <c r="F144" s="10">
        <f t="shared" si="47"/>
        <v>0</v>
      </c>
      <c r="G144" s="10">
        <f t="shared" si="47"/>
        <v>0</v>
      </c>
      <c r="H144" s="10">
        <f t="shared" si="47"/>
        <v>0</v>
      </c>
      <c r="I144" s="119">
        <f t="shared" si="35"/>
        <v>0</v>
      </c>
      <c r="J144" s="119" t="e">
        <f t="shared" si="39"/>
        <v>#DIV/0!</v>
      </c>
      <c r="K144" s="10">
        <f t="shared" si="40"/>
        <v>0</v>
      </c>
      <c r="L144" s="119">
        <f t="shared" si="36"/>
        <v>0</v>
      </c>
      <c r="M144" s="119" t="e">
        <f t="shared" si="41"/>
        <v>#DIV/0!</v>
      </c>
      <c r="N144" s="10">
        <f t="shared" si="42"/>
        <v>0</v>
      </c>
      <c r="O144" s="119">
        <f t="shared" si="37"/>
        <v>0</v>
      </c>
      <c r="P144" s="119" t="e">
        <f t="shared" si="43"/>
        <v>#DIV/0!</v>
      </c>
      <c r="Q144" s="10">
        <f t="shared" si="44"/>
        <v>0</v>
      </c>
      <c r="R144" s="120">
        <f t="shared" si="46"/>
        <v>0</v>
      </c>
      <c r="T144" s="117">
        <v>680092.4</v>
      </c>
      <c r="U144" s="118">
        <v>625407.2</v>
      </c>
      <c r="V144" s="118">
        <v>642540.6</v>
      </c>
    </row>
    <row r="145" spans="1:22" ht="19.5" hidden="1">
      <c r="A145" s="1"/>
      <c r="B145" s="2" t="s">
        <v>162</v>
      </c>
      <c r="C145" s="3"/>
      <c r="D145" s="21"/>
      <c r="E145" s="10"/>
      <c r="F145" s="10"/>
      <c r="G145" s="10"/>
      <c r="H145" s="10"/>
      <c r="I145" s="119">
        <f t="shared" si="35"/>
        <v>0</v>
      </c>
      <c r="J145" s="119" t="e">
        <f t="shared" si="39"/>
        <v>#DIV/0!</v>
      </c>
      <c r="K145" s="10">
        <f t="shared" si="40"/>
        <v>0</v>
      </c>
      <c r="L145" s="119">
        <f t="shared" si="36"/>
        <v>0</v>
      </c>
      <c r="M145" s="119" t="e">
        <f t="shared" si="41"/>
        <v>#DIV/0!</v>
      </c>
      <c r="N145" s="10">
        <f t="shared" si="42"/>
        <v>0</v>
      </c>
      <c r="O145" s="119">
        <f t="shared" si="37"/>
        <v>0</v>
      </c>
      <c r="P145" s="119" t="e">
        <f t="shared" si="43"/>
        <v>#DIV/0!</v>
      </c>
      <c r="Q145" s="10">
        <f t="shared" si="44"/>
        <v>0</v>
      </c>
      <c r="R145" s="120">
        <f t="shared" si="46"/>
        <v>0</v>
      </c>
      <c r="T145" s="117">
        <v>680092.4</v>
      </c>
      <c r="U145" s="118">
        <v>625407.2</v>
      </c>
      <c r="V145" s="118">
        <v>642540.6</v>
      </c>
    </row>
    <row r="146" spans="1:22" s="28" customFormat="1" ht="19.5" hidden="1">
      <c r="A146" s="1"/>
      <c r="B146" s="2"/>
      <c r="C146" s="3"/>
      <c r="D146" s="21"/>
      <c r="E146" s="10"/>
      <c r="F146" s="10"/>
      <c r="G146" s="10"/>
      <c r="H146" s="10"/>
      <c r="I146" s="119">
        <f t="shared" si="35"/>
        <v>0</v>
      </c>
      <c r="J146" s="119" t="e">
        <f t="shared" si="39"/>
        <v>#DIV/0!</v>
      </c>
      <c r="K146" s="10">
        <f t="shared" si="40"/>
        <v>0</v>
      </c>
      <c r="L146" s="119">
        <f t="shared" si="36"/>
        <v>0</v>
      </c>
      <c r="M146" s="119" t="e">
        <f t="shared" si="41"/>
        <v>#DIV/0!</v>
      </c>
      <c r="N146" s="10">
        <f t="shared" si="42"/>
        <v>0</v>
      </c>
      <c r="O146" s="119">
        <f t="shared" si="37"/>
        <v>0</v>
      </c>
      <c r="P146" s="119" t="e">
        <f t="shared" si="43"/>
        <v>#DIV/0!</v>
      </c>
      <c r="Q146" s="10">
        <f t="shared" si="44"/>
        <v>0</v>
      </c>
      <c r="R146" s="120">
        <f t="shared" si="46"/>
        <v>0</v>
      </c>
      <c r="T146" s="117">
        <v>680092.4</v>
      </c>
      <c r="U146" s="118">
        <v>625407.2</v>
      </c>
      <c r="V146" s="118">
        <v>642540.6</v>
      </c>
    </row>
    <row r="147" spans="1:22" ht="98.25" customHeight="1" hidden="1">
      <c r="A147" s="1"/>
      <c r="B147" s="2" t="s">
        <v>163</v>
      </c>
      <c r="C147" s="3">
        <f>20922.8</f>
        <v>20922.8</v>
      </c>
      <c r="D147" s="21">
        <v>0</v>
      </c>
      <c r="E147" s="10">
        <v>0</v>
      </c>
      <c r="F147" s="10">
        <v>0</v>
      </c>
      <c r="G147" s="10">
        <v>0</v>
      </c>
      <c r="H147" s="10">
        <v>0</v>
      </c>
      <c r="I147" s="119">
        <f t="shared" si="35"/>
        <v>0</v>
      </c>
      <c r="J147" s="119" t="e">
        <f t="shared" si="39"/>
        <v>#DIV/0!</v>
      </c>
      <c r="K147" s="10">
        <f t="shared" si="40"/>
        <v>0</v>
      </c>
      <c r="L147" s="119">
        <f t="shared" si="36"/>
        <v>0</v>
      </c>
      <c r="M147" s="119" t="e">
        <f t="shared" si="41"/>
        <v>#DIV/0!</v>
      </c>
      <c r="N147" s="10">
        <f t="shared" si="42"/>
        <v>0</v>
      </c>
      <c r="O147" s="119">
        <f t="shared" si="37"/>
        <v>0</v>
      </c>
      <c r="P147" s="119" t="e">
        <f t="shared" si="43"/>
        <v>#DIV/0!</v>
      </c>
      <c r="Q147" s="10">
        <f t="shared" si="44"/>
        <v>0</v>
      </c>
      <c r="R147" s="120">
        <f t="shared" si="46"/>
        <v>0</v>
      </c>
      <c r="T147" s="117">
        <v>680092.4</v>
      </c>
      <c r="U147" s="118">
        <v>625407.2</v>
      </c>
      <c r="V147" s="118">
        <v>642540.6</v>
      </c>
    </row>
    <row r="148" spans="1:22" s="112" customFormat="1" ht="48" customHeight="1">
      <c r="A148" s="93" t="s">
        <v>164</v>
      </c>
      <c r="B148" s="5" t="s">
        <v>165</v>
      </c>
      <c r="C148" s="3">
        <f aca="true" t="shared" si="48" ref="C148:H148">C149+C150</f>
        <v>913.6</v>
      </c>
      <c r="D148" s="22">
        <f t="shared" si="48"/>
        <v>581.1</v>
      </c>
      <c r="E148" s="75">
        <f t="shared" si="48"/>
        <v>596.1</v>
      </c>
      <c r="F148" s="75">
        <f t="shared" si="48"/>
        <v>696</v>
      </c>
      <c r="G148" s="75">
        <f t="shared" si="48"/>
        <v>722.3</v>
      </c>
      <c r="H148" s="75">
        <f t="shared" si="48"/>
        <v>749.5</v>
      </c>
      <c r="I148" s="110">
        <f t="shared" si="35"/>
        <v>0.0010233903510758243</v>
      </c>
      <c r="J148" s="110">
        <f t="shared" si="39"/>
        <v>1.16758933064922</v>
      </c>
      <c r="K148" s="75">
        <f t="shared" si="40"/>
        <v>99.89999999999998</v>
      </c>
      <c r="L148" s="110">
        <f t="shared" si="36"/>
        <v>0.0011549275416080915</v>
      </c>
      <c r="M148" s="110">
        <f t="shared" si="41"/>
        <v>1.037787356321839</v>
      </c>
      <c r="N148" s="75">
        <f t="shared" si="42"/>
        <v>26.299999999999955</v>
      </c>
      <c r="O148" s="110">
        <f t="shared" si="37"/>
        <v>0.001166463255395846</v>
      </c>
      <c r="P148" s="110">
        <f t="shared" si="43"/>
        <v>1.037657483040288</v>
      </c>
      <c r="Q148" s="75">
        <f t="shared" si="44"/>
        <v>27.200000000000045</v>
      </c>
      <c r="R148" s="111">
        <f t="shared" si="46"/>
        <v>0.11314589480357971</v>
      </c>
      <c r="T148" s="113">
        <v>680092.4</v>
      </c>
      <c r="U148" s="114">
        <v>625407.2</v>
      </c>
      <c r="V148" s="114">
        <v>642540.6</v>
      </c>
    </row>
    <row r="149" spans="1:22" ht="27.75" customHeight="1">
      <c r="A149" s="77"/>
      <c r="B149" s="78" t="s">
        <v>133</v>
      </c>
      <c r="C149" s="79">
        <f>812.6+1</f>
        <v>813.6</v>
      </c>
      <c r="D149" s="21">
        <v>581.1</v>
      </c>
      <c r="E149" s="80">
        <f>596.1</f>
        <v>596.1</v>
      </c>
      <c r="F149" s="80">
        <v>696</v>
      </c>
      <c r="G149" s="80">
        <v>722.3</v>
      </c>
      <c r="H149" s="80">
        <v>749.5</v>
      </c>
      <c r="I149" s="115">
        <f t="shared" si="35"/>
        <v>0.0010233903510758243</v>
      </c>
      <c r="J149" s="115">
        <f t="shared" si="39"/>
        <v>1.16758933064922</v>
      </c>
      <c r="K149" s="80">
        <f t="shared" si="40"/>
        <v>99.89999999999998</v>
      </c>
      <c r="L149" s="115">
        <f t="shared" si="36"/>
        <v>0.0011549275416080915</v>
      </c>
      <c r="M149" s="115">
        <f t="shared" si="41"/>
        <v>1.037787356321839</v>
      </c>
      <c r="N149" s="80">
        <f t="shared" si="42"/>
        <v>26.299999999999955</v>
      </c>
      <c r="O149" s="115">
        <f t="shared" si="37"/>
        <v>0.001166463255395846</v>
      </c>
      <c r="P149" s="115">
        <f t="shared" si="43"/>
        <v>1.037657483040288</v>
      </c>
      <c r="Q149" s="80">
        <f t="shared" si="44"/>
        <v>27.200000000000045</v>
      </c>
      <c r="R149" s="116">
        <f t="shared" si="46"/>
        <v>0.11314589480357971</v>
      </c>
      <c r="T149" s="117">
        <v>680092.4</v>
      </c>
      <c r="U149" s="118">
        <v>625407.2</v>
      </c>
      <c r="V149" s="118">
        <v>642540.6</v>
      </c>
    </row>
    <row r="150" spans="1:22" ht="23.25" customHeight="1" hidden="1">
      <c r="A150" s="1"/>
      <c r="B150" s="2" t="s">
        <v>89</v>
      </c>
      <c r="C150" s="3">
        <v>100</v>
      </c>
      <c r="D150" s="21">
        <v>0</v>
      </c>
      <c r="E150" s="10">
        <v>0</v>
      </c>
      <c r="F150" s="10">
        <v>0</v>
      </c>
      <c r="G150" s="10">
        <v>0</v>
      </c>
      <c r="H150" s="10">
        <v>0</v>
      </c>
      <c r="I150" s="119">
        <f t="shared" si="35"/>
        <v>0</v>
      </c>
      <c r="J150" s="119" t="e">
        <f t="shared" si="39"/>
        <v>#DIV/0!</v>
      </c>
      <c r="K150" s="10">
        <f t="shared" si="40"/>
        <v>0</v>
      </c>
      <c r="L150" s="119">
        <f t="shared" si="36"/>
        <v>0</v>
      </c>
      <c r="M150" s="119" t="e">
        <f t="shared" si="41"/>
        <v>#DIV/0!</v>
      </c>
      <c r="N150" s="10">
        <f t="shared" si="42"/>
        <v>0</v>
      </c>
      <c r="O150" s="119">
        <f t="shared" si="37"/>
        <v>0</v>
      </c>
      <c r="P150" s="119" t="e">
        <f t="shared" si="43"/>
        <v>#DIV/0!</v>
      </c>
      <c r="Q150" s="10">
        <f t="shared" si="44"/>
        <v>0</v>
      </c>
      <c r="R150" s="120">
        <f t="shared" si="46"/>
        <v>0</v>
      </c>
      <c r="T150" s="117">
        <v>680092.4</v>
      </c>
      <c r="U150" s="118">
        <v>625407.2</v>
      </c>
      <c r="V150" s="118">
        <v>642540.6</v>
      </c>
    </row>
    <row r="151" spans="1:22" s="125" customFormat="1" ht="33" customHeight="1">
      <c r="A151" s="81" t="s">
        <v>166</v>
      </c>
      <c r="B151" s="82" t="s">
        <v>167</v>
      </c>
      <c r="C151" s="83">
        <f aca="true" t="shared" si="49" ref="C151:H151">C152</f>
        <v>500</v>
      </c>
      <c r="D151" s="76">
        <f t="shared" si="49"/>
        <v>250</v>
      </c>
      <c r="E151" s="85">
        <f t="shared" si="49"/>
        <v>320</v>
      </c>
      <c r="F151" s="85">
        <f t="shared" si="49"/>
        <v>370</v>
      </c>
      <c r="G151" s="85">
        <f t="shared" si="49"/>
        <v>370</v>
      </c>
      <c r="H151" s="85">
        <f t="shared" si="49"/>
        <v>370</v>
      </c>
      <c r="I151" s="104">
        <f t="shared" si="35"/>
        <v>0.0005440437211178951</v>
      </c>
      <c r="J151" s="104">
        <f t="shared" si="39"/>
        <v>1.15625</v>
      </c>
      <c r="K151" s="85">
        <f t="shared" si="40"/>
        <v>50</v>
      </c>
      <c r="L151" s="104">
        <f t="shared" si="36"/>
        <v>0.0005916145512875452</v>
      </c>
      <c r="M151" s="104">
        <f t="shared" si="41"/>
        <v>1</v>
      </c>
      <c r="N151" s="85">
        <f t="shared" si="42"/>
        <v>0</v>
      </c>
      <c r="O151" s="104">
        <f t="shared" si="37"/>
        <v>0.0005758390987277691</v>
      </c>
      <c r="P151" s="104">
        <f t="shared" si="43"/>
        <v>1</v>
      </c>
      <c r="Q151" s="85">
        <f t="shared" si="44"/>
        <v>0</v>
      </c>
      <c r="R151" s="105">
        <f t="shared" si="46"/>
        <v>0.06014939809960415</v>
      </c>
      <c r="S151" s="105">
        <f>F151/E151*100</f>
        <v>115.625</v>
      </c>
      <c r="T151" s="106">
        <v>680092.4</v>
      </c>
      <c r="U151" s="107">
        <v>625407.2</v>
      </c>
      <c r="V151" s="107">
        <v>642540.6</v>
      </c>
    </row>
    <row r="152" spans="1:22" s="112" customFormat="1" ht="33.75" customHeight="1">
      <c r="A152" s="93" t="s">
        <v>168</v>
      </c>
      <c r="B152" s="5" t="s">
        <v>7</v>
      </c>
      <c r="C152" s="3">
        <v>500</v>
      </c>
      <c r="D152" s="22">
        <v>250</v>
      </c>
      <c r="E152" s="75">
        <f>320</f>
        <v>320</v>
      </c>
      <c r="F152" s="75">
        <v>370</v>
      </c>
      <c r="G152" s="75">
        <v>370</v>
      </c>
      <c r="H152" s="75">
        <v>370</v>
      </c>
      <c r="I152" s="110">
        <f t="shared" si="35"/>
        <v>0.0005440437211178951</v>
      </c>
      <c r="J152" s="110">
        <f t="shared" si="39"/>
        <v>1.15625</v>
      </c>
      <c r="K152" s="75">
        <f t="shared" si="40"/>
        <v>50</v>
      </c>
      <c r="L152" s="110">
        <f t="shared" si="36"/>
        <v>0.0005916145512875452</v>
      </c>
      <c r="M152" s="110">
        <f t="shared" si="41"/>
        <v>1</v>
      </c>
      <c r="N152" s="75">
        <f t="shared" si="42"/>
        <v>0</v>
      </c>
      <c r="O152" s="110">
        <f t="shared" si="37"/>
        <v>0.0005758390987277691</v>
      </c>
      <c r="P152" s="110">
        <f t="shared" si="43"/>
        <v>1</v>
      </c>
      <c r="Q152" s="75">
        <f t="shared" si="44"/>
        <v>0</v>
      </c>
      <c r="R152" s="111">
        <f t="shared" si="46"/>
        <v>0.06014939809960415</v>
      </c>
      <c r="T152" s="113">
        <v>680092.4</v>
      </c>
      <c r="U152" s="114">
        <v>625407.2</v>
      </c>
      <c r="V152" s="114">
        <v>642540.6</v>
      </c>
    </row>
    <row r="153" spans="1:22" s="108" customFormat="1" ht="41.25" customHeight="1">
      <c r="A153" s="81" t="s">
        <v>169</v>
      </c>
      <c r="B153" s="82" t="s">
        <v>170</v>
      </c>
      <c r="C153" s="83">
        <f aca="true" t="shared" si="50" ref="C153:H153">C154</f>
        <v>500</v>
      </c>
      <c r="D153" s="76">
        <f t="shared" si="50"/>
        <v>800</v>
      </c>
      <c r="E153" s="85">
        <f t="shared" si="50"/>
        <v>2200</v>
      </c>
      <c r="F153" s="85">
        <f t="shared" si="50"/>
        <v>600</v>
      </c>
      <c r="G153" s="85">
        <f t="shared" si="50"/>
        <v>550</v>
      </c>
      <c r="H153" s="85">
        <f t="shared" si="50"/>
        <v>520</v>
      </c>
      <c r="I153" s="104">
        <f t="shared" si="35"/>
        <v>0.0008822330612722624</v>
      </c>
      <c r="J153" s="104">
        <f t="shared" si="39"/>
        <v>0.2727272727272727</v>
      </c>
      <c r="K153" s="85">
        <f t="shared" si="40"/>
        <v>-1600</v>
      </c>
      <c r="L153" s="104">
        <f t="shared" si="36"/>
        <v>0.0008794270356977023</v>
      </c>
      <c r="M153" s="104">
        <f t="shared" si="41"/>
        <v>0.9166666666666666</v>
      </c>
      <c r="N153" s="85">
        <f t="shared" si="42"/>
        <v>-50</v>
      </c>
      <c r="O153" s="104">
        <f t="shared" si="37"/>
        <v>0.0008092873819957836</v>
      </c>
      <c r="P153" s="104">
        <f t="shared" si="43"/>
        <v>0.9454545454545454</v>
      </c>
      <c r="Q153" s="85">
        <f t="shared" si="44"/>
        <v>-30</v>
      </c>
      <c r="R153" s="105">
        <f t="shared" si="46"/>
        <v>0.09753956448584457</v>
      </c>
      <c r="S153" s="105">
        <f>F153/E153*100</f>
        <v>27.27272727272727</v>
      </c>
      <c r="T153" s="106">
        <v>680092.4</v>
      </c>
      <c r="U153" s="107">
        <v>625407.2</v>
      </c>
      <c r="V153" s="107">
        <v>642540.6</v>
      </c>
    </row>
    <row r="154" spans="1:22" s="112" customFormat="1" ht="45" customHeight="1">
      <c r="A154" s="93" t="s">
        <v>171</v>
      </c>
      <c r="B154" s="5" t="s">
        <v>6</v>
      </c>
      <c r="C154" s="3">
        <f>500</f>
        <v>500</v>
      </c>
      <c r="D154" s="22">
        <v>800</v>
      </c>
      <c r="E154" s="75">
        <f>2200</f>
        <v>2200</v>
      </c>
      <c r="F154" s="75">
        <v>600</v>
      </c>
      <c r="G154" s="75">
        <v>550</v>
      </c>
      <c r="H154" s="75">
        <v>520</v>
      </c>
      <c r="I154" s="110">
        <f t="shared" si="35"/>
        <v>0.0008822330612722624</v>
      </c>
      <c r="J154" s="110">
        <f t="shared" si="39"/>
        <v>0.2727272727272727</v>
      </c>
      <c r="K154" s="75">
        <f t="shared" si="40"/>
        <v>-1600</v>
      </c>
      <c r="L154" s="110">
        <f t="shared" si="36"/>
        <v>0.0008794270356977023</v>
      </c>
      <c r="M154" s="110">
        <f t="shared" si="41"/>
        <v>0.9166666666666666</v>
      </c>
      <c r="N154" s="75">
        <f t="shared" si="42"/>
        <v>-50</v>
      </c>
      <c r="O154" s="110">
        <f t="shared" si="37"/>
        <v>0.0008092873819957836</v>
      </c>
      <c r="P154" s="110">
        <f t="shared" si="43"/>
        <v>0.9454545454545454</v>
      </c>
      <c r="Q154" s="75">
        <f t="shared" si="44"/>
        <v>-30</v>
      </c>
      <c r="R154" s="111">
        <f t="shared" si="46"/>
        <v>0.09753956448584457</v>
      </c>
      <c r="T154" s="113">
        <v>680092.4</v>
      </c>
      <c r="U154" s="114">
        <v>625407.2</v>
      </c>
      <c r="V154" s="114">
        <v>642540.6</v>
      </c>
    </row>
    <row r="155" spans="1:22" s="108" customFormat="1" ht="67.5" customHeight="1">
      <c r="A155" s="81" t="s">
        <v>172</v>
      </c>
      <c r="B155" s="82" t="s">
        <v>279</v>
      </c>
      <c r="C155" s="83">
        <f aca="true" t="shared" si="51" ref="C155:H155">C157+C158+C159</f>
        <v>6663.2</v>
      </c>
      <c r="D155" s="76">
        <f t="shared" si="51"/>
        <v>7956.700000000001</v>
      </c>
      <c r="E155" s="85">
        <f t="shared" si="51"/>
        <v>2365.1</v>
      </c>
      <c r="F155" s="85">
        <f t="shared" si="51"/>
        <v>2475.8</v>
      </c>
      <c r="G155" s="85">
        <f t="shared" si="51"/>
        <v>2575.5</v>
      </c>
      <c r="H155" s="85">
        <f t="shared" si="51"/>
        <v>2669.9</v>
      </c>
      <c r="I155" s="104">
        <f t="shared" si="35"/>
        <v>0.0036403876884964458</v>
      </c>
      <c r="J155" s="104">
        <f t="shared" si="39"/>
        <v>1.0468056318971715</v>
      </c>
      <c r="K155" s="85">
        <f t="shared" si="40"/>
        <v>110.70000000000027</v>
      </c>
      <c r="L155" s="104">
        <f t="shared" si="36"/>
        <v>0.004118116964435332</v>
      </c>
      <c r="M155" s="104">
        <f t="shared" si="41"/>
        <v>1.0402698117780111</v>
      </c>
      <c r="N155" s="85">
        <f t="shared" si="42"/>
        <v>99.69999999999982</v>
      </c>
      <c r="O155" s="104">
        <f t="shared" si="37"/>
        <v>0.004155223809981813</v>
      </c>
      <c r="P155" s="104">
        <f t="shared" si="43"/>
        <v>1.0366530770724132</v>
      </c>
      <c r="Q155" s="85">
        <f t="shared" si="44"/>
        <v>94.40000000000009</v>
      </c>
      <c r="R155" s="105">
        <f t="shared" si="46"/>
        <v>0.4024807562567566</v>
      </c>
      <c r="S155" s="105">
        <f>F155/E155*100</f>
        <v>104.68056318971715</v>
      </c>
      <c r="T155" s="106">
        <v>680092.4</v>
      </c>
      <c r="U155" s="107">
        <v>625407.2</v>
      </c>
      <c r="V155" s="107">
        <v>642540.6</v>
      </c>
    </row>
    <row r="156" spans="1:22" s="112" customFormat="1" ht="54.75" customHeight="1">
      <c r="A156" s="93" t="s">
        <v>173</v>
      </c>
      <c r="B156" s="5" t="s">
        <v>174</v>
      </c>
      <c r="C156" s="3">
        <f aca="true" t="shared" si="52" ref="C156:H156">C157+C158</f>
        <v>6214.5</v>
      </c>
      <c r="D156" s="22">
        <f t="shared" si="52"/>
        <v>4849.700000000001</v>
      </c>
      <c r="E156" s="75">
        <f t="shared" si="52"/>
        <v>2365.1</v>
      </c>
      <c r="F156" s="75">
        <f t="shared" si="52"/>
        <v>2475.8</v>
      </c>
      <c r="G156" s="75">
        <f t="shared" si="52"/>
        <v>2575.5</v>
      </c>
      <c r="H156" s="75">
        <f t="shared" si="52"/>
        <v>2669.9</v>
      </c>
      <c r="I156" s="110">
        <f t="shared" si="35"/>
        <v>0.0036403876884964458</v>
      </c>
      <c r="J156" s="110">
        <f t="shared" si="39"/>
        <v>1.0468056318971715</v>
      </c>
      <c r="K156" s="75">
        <f t="shared" si="40"/>
        <v>110.70000000000027</v>
      </c>
      <c r="L156" s="110">
        <f t="shared" si="36"/>
        <v>0.004118116964435332</v>
      </c>
      <c r="M156" s="110">
        <f t="shared" si="41"/>
        <v>1.0402698117780111</v>
      </c>
      <c r="N156" s="75">
        <f t="shared" si="42"/>
        <v>99.69999999999982</v>
      </c>
      <c r="O156" s="110">
        <f t="shared" si="37"/>
        <v>0.004155223809981813</v>
      </c>
      <c r="P156" s="110">
        <f t="shared" si="43"/>
        <v>1.0366530770724132</v>
      </c>
      <c r="Q156" s="75">
        <f t="shared" si="44"/>
        <v>94.40000000000009</v>
      </c>
      <c r="R156" s="111">
        <f t="shared" si="46"/>
        <v>0.4024807562567566</v>
      </c>
      <c r="T156" s="113">
        <v>680092.4</v>
      </c>
      <c r="U156" s="114">
        <v>625407.2</v>
      </c>
      <c r="V156" s="114">
        <v>642540.6</v>
      </c>
    </row>
    <row r="157" spans="1:22" ht="82.5" customHeight="1" hidden="1">
      <c r="A157" s="1"/>
      <c r="B157" s="2" t="s">
        <v>175</v>
      </c>
      <c r="C157" s="3">
        <v>6214.5</v>
      </c>
      <c r="D157" s="21">
        <v>2693.9</v>
      </c>
      <c r="E157" s="10">
        <f>0</f>
        <v>0</v>
      </c>
      <c r="F157" s="10">
        <f>0</f>
        <v>0</v>
      </c>
      <c r="G157" s="10">
        <f>0</f>
        <v>0</v>
      </c>
      <c r="H157" s="10">
        <f>0</f>
        <v>0</v>
      </c>
      <c r="I157" s="119">
        <f t="shared" si="35"/>
        <v>0</v>
      </c>
      <c r="J157" s="119" t="e">
        <f t="shared" si="39"/>
        <v>#DIV/0!</v>
      </c>
      <c r="K157" s="10">
        <f t="shared" si="40"/>
        <v>0</v>
      </c>
      <c r="L157" s="119">
        <f t="shared" si="36"/>
        <v>0</v>
      </c>
      <c r="M157" s="119" t="e">
        <f t="shared" si="41"/>
        <v>#DIV/0!</v>
      </c>
      <c r="N157" s="10">
        <f t="shared" si="42"/>
        <v>0</v>
      </c>
      <c r="O157" s="119">
        <f t="shared" si="37"/>
        <v>0</v>
      </c>
      <c r="P157" s="119" t="e">
        <f t="shared" si="43"/>
        <v>#DIV/0!</v>
      </c>
      <c r="Q157" s="10">
        <f t="shared" si="44"/>
        <v>0</v>
      </c>
      <c r="R157" s="120">
        <f t="shared" si="46"/>
        <v>0</v>
      </c>
      <c r="T157" s="117">
        <v>680092.4</v>
      </c>
      <c r="U157" s="118">
        <v>625407.2</v>
      </c>
      <c r="V157" s="118">
        <v>642540.6</v>
      </c>
    </row>
    <row r="158" spans="1:22" ht="60" customHeight="1">
      <c r="A158" s="77"/>
      <c r="B158" s="78" t="s">
        <v>176</v>
      </c>
      <c r="C158" s="79">
        <v>0</v>
      </c>
      <c r="D158" s="21">
        <v>2155.8</v>
      </c>
      <c r="E158" s="80">
        <f>2365.1</f>
        <v>2365.1</v>
      </c>
      <c r="F158" s="80">
        <v>2475.8</v>
      </c>
      <c r="G158" s="80">
        <v>2575.5</v>
      </c>
      <c r="H158" s="80">
        <v>2669.9</v>
      </c>
      <c r="I158" s="115">
        <f t="shared" si="35"/>
        <v>0.0036403876884964458</v>
      </c>
      <c r="J158" s="115">
        <f t="shared" si="39"/>
        <v>1.0468056318971715</v>
      </c>
      <c r="K158" s="80">
        <f t="shared" si="40"/>
        <v>110.70000000000027</v>
      </c>
      <c r="L158" s="115">
        <f t="shared" si="36"/>
        <v>0.004118116964435332</v>
      </c>
      <c r="M158" s="115">
        <f t="shared" si="41"/>
        <v>1.0402698117780111</v>
      </c>
      <c r="N158" s="80">
        <f t="shared" si="42"/>
        <v>99.69999999999982</v>
      </c>
      <c r="O158" s="115">
        <f t="shared" si="37"/>
        <v>0.004155223809981813</v>
      </c>
      <c r="P158" s="115">
        <f t="shared" si="43"/>
        <v>1.0366530770724132</v>
      </c>
      <c r="Q158" s="80">
        <f t="shared" si="44"/>
        <v>94.40000000000009</v>
      </c>
      <c r="R158" s="116">
        <f t="shared" si="46"/>
        <v>0.4024807562567566</v>
      </c>
      <c r="T158" s="117">
        <v>680092.4</v>
      </c>
      <c r="U158" s="118">
        <v>625407.2</v>
      </c>
      <c r="V158" s="118">
        <v>642540.6</v>
      </c>
    </row>
    <row r="159" spans="1:22" ht="48" customHeight="1" hidden="1">
      <c r="A159" s="1" t="s">
        <v>177</v>
      </c>
      <c r="B159" s="2" t="s">
        <v>5</v>
      </c>
      <c r="C159" s="3">
        <v>448.7</v>
      </c>
      <c r="D159" s="21">
        <v>3107</v>
      </c>
      <c r="E159" s="10">
        <f>0</f>
        <v>0</v>
      </c>
      <c r="F159" s="10">
        <f>0</f>
        <v>0</v>
      </c>
      <c r="G159" s="10">
        <f>0</f>
        <v>0</v>
      </c>
      <c r="H159" s="10">
        <f>0</f>
        <v>0</v>
      </c>
      <c r="I159" s="119">
        <f t="shared" si="35"/>
        <v>0</v>
      </c>
      <c r="J159" s="119" t="e">
        <f t="shared" si="39"/>
        <v>#DIV/0!</v>
      </c>
      <c r="K159" s="10">
        <f t="shared" si="40"/>
        <v>0</v>
      </c>
      <c r="L159" s="119">
        <f t="shared" si="36"/>
        <v>0</v>
      </c>
      <c r="M159" s="119" t="e">
        <f t="shared" si="41"/>
        <v>#DIV/0!</v>
      </c>
      <c r="N159" s="10">
        <f t="shared" si="42"/>
        <v>0</v>
      </c>
      <c r="O159" s="119">
        <f t="shared" si="37"/>
        <v>0</v>
      </c>
      <c r="P159" s="119" t="e">
        <f t="shared" si="43"/>
        <v>#DIV/0!</v>
      </c>
      <c r="Q159" s="10">
        <f t="shared" si="44"/>
        <v>0</v>
      </c>
      <c r="R159" s="120">
        <f t="shared" si="46"/>
        <v>0</v>
      </c>
      <c r="T159" s="117">
        <v>680092.4</v>
      </c>
      <c r="U159" s="118">
        <v>625407.2</v>
      </c>
      <c r="V159" s="118">
        <v>642540.6</v>
      </c>
    </row>
    <row r="160" spans="1:22" s="108" customFormat="1" ht="37.5" customHeight="1">
      <c r="A160" s="81"/>
      <c r="B160" s="82" t="s">
        <v>281</v>
      </c>
      <c r="C160" s="126">
        <f aca="true" t="shared" si="53" ref="C160:H160">C7+C35+C37+C47+C61+C77+C79+C115+C127+C135+C143+C151+C153+C155</f>
        <v>636912.5</v>
      </c>
      <c r="D160" s="76">
        <f t="shared" si="53"/>
        <v>610709.7999999999</v>
      </c>
      <c r="E160" s="85">
        <f t="shared" si="53"/>
        <v>634417.1</v>
      </c>
      <c r="F160" s="85">
        <f t="shared" si="53"/>
        <v>680092.4000000001</v>
      </c>
      <c r="G160" s="85">
        <f t="shared" si="53"/>
        <v>625407.2</v>
      </c>
      <c r="H160" s="85">
        <f t="shared" si="53"/>
        <v>642540.6</v>
      </c>
      <c r="I160" s="104">
        <f t="shared" si="35"/>
        <v>1.0000000000000002</v>
      </c>
      <c r="J160" s="104">
        <f t="shared" si="39"/>
        <v>1.0719956949458016</v>
      </c>
      <c r="K160" s="85">
        <f t="shared" si="40"/>
        <v>45675.30000000016</v>
      </c>
      <c r="L160" s="104">
        <f t="shared" si="36"/>
        <v>1</v>
      </c>
      <c r="M160" s="104">
        <f t="shared" si="41"/>
        <v>0.9195915143295232</v>
      </c>
      <c r="N160" s="85">
        <f t="shared" si="42"/>
        <v>-54685.200000000186</v>
      </c>
      <c r="O160" s="104">
        <f t="shared" si="37"/>
        <v>1</v>
      </c>
      <c r="P160" s="104">
        <f t="shared" si="43"/>
        <v>1.0273955912244055</v>
      </c>
      <c r="Q160" s="85">
        <f t="shared" si="44"/>
        <v>17133.400000000023</v>
      </c>
      <c r="R160" s="105">
        <f t="shared" si="46"/>
        <v>110.55986084355469</v>
      </c>
      <c r="S160" s="105">
        <f>F160/E160*100</f>
        <v>107.19956949458016</v>
      </c>
      <c r="T160" s="106">
        <v>680092.4</v>
      </c>
      <c r="U160" s="107">
        <v>625407.2</v>
      </c>
      <c r="V160" s="107">
        <v>642540.6</v>
      </c>
    </row>
    <row r="161" spans="1:22" ht="30.75" customHeight="1">
      <c r="A161" s="77"/>
      <c r="B161" s="78" t="s">
        <v>178</v>
      </c>
      <c r="C161" s="79">
        <f aca="true" t="shared" si="54" ref="C161:H161">C35+C155</f>
        <v>7475</v>
      </c>
      <c r="D161" s="21">
        <f t="shared" si="54"/>
        <v>8922.7</v>
      </c>
      <c r="E161" s="80">
        <f t="shared" si="54"/>
        <v>2365.1</v>
      </c>
      <c r="F161" s="80">
        <f t="shared" si="54"/>
        <v>2475.8</v>
      </c>
      <c r="G161" s="80">
        <f t="shared" si="54"/>
        <v>2575.5</v>
      </c>
      <c r="H161" s="80">
        <f t="shared" si="54"/>
        <v>2669.9</v>
      </c>
      <c r="I161" s="115">
        <f t="shared" si="35"/>
        <v>0.0036403876884964458</v>
      </c>
      <c r="J161" s="115">
        <f t="shared" si="39"/>
        <v>1.0468056318971715</v>
      </c>
      <c r="K161" s="80">
        <f t="shared" si="40"/>
        <v>110.70000000000027</v>
      </c>
      <c r="L161" s="115">
        <f t="shared" si="36"/>
        <v>0.004118116964435332</v>
      </c>
      <c r="M161" s="115">
        <f t="shared" si="41"/>
        <v>1.0402698117780111</v>
      </c>
      <c r="N161" s="80">
        <f t="shared" si="42"/>
        <v>99.69999999999982</v>
      </c>
      <c r="O161" s="115">
        <f t="shared" si="37"/>
        <v>0.004155223809981813</v>
      </c>
      <c r="P161" s="115">
        <f t="shared" si="43"/>
        <v>1.0366530770724132</v>
      </c>
      <c r="Q161" s="80">
        <f t="shared" si="44"/>
        <v>94.40000000000009</v>
      </c>
      <c r="R161" s="116">
        <f t="shared" si="46"/>
        <v>0.4024807562567566</v>
      </c>
      <c r="T161" s="117">
        <v>680092.4</v>
      </c>
      <c r="U161" s="118">
        <v>625407.2</v>
      </c>
      <c r="V161" s="118">
        <v>642540.6</v>
      </c>
    </row>
    <row r="162" spans="1:22" ht="39" customHeight="1">
      <c r="A162" s="77"/>
      <c r="B162" s="78" t="s">
        <v>179</v>
      </c>
      <c r="C162" s="79">
        <f aca="true" t="shared" si="55" ref="C162:H162">C160-C161</f>
        <v>629437.5</v>
      </c>
      <c r="D162" s="21">
        <f t="shared" si="55"/>
        <v>601787.1</v>
      </c>
      <c r="E162" s="80">
        <f t="shared" si="55"/>
        <v>632052</v>
      </c>
      <c r="F162" s="80">
        <f t="shared" si="55"/>
        <v>677616.6000000001</v>
      </c>
      <c r="G162" s="80">
        <f t="shared" si="55"/>
        <v>622831.7</v>
      </c>
      <c r="H162" s="80">
        <f t="shared" si="55"/>
        <v>639870.7</v>
      </c>
      <c r="I162" s="115">
        <f t="shared" si="35"/>
        <v>0.9963596123115036</v>
      </c>
      <c r="J162" s="115">
        <f t="shared" si="39"/>
        <v>1.0720899546239868</v>
      </c>
      <c r="K162" s="80">
        <f t="shared" si="40"/>
        <v>45564.60000000009</v>
      </c>
      <c r="L162" s="115">
        <f t="shared" si="36"/>
        <v>0.9958818830355647</v>
      </c>
      <c r="M162" s="115">
        <f t="shared" si="41"/>
        <v>0.9191505934181657</v>
      </c>
      <c r="N162" s="80">
        <f t="shared" si="42"/>
        <v>-54784.90000000014</v>
      </c>
      <c r="O162" s="115">
        <f t="shared" si="37"/>
        <v>0.9958447761900181</v>
      </c>
      <c r="P162" s="115">
        <f t="shared" si="43"/>
        <v>1.0273573101690232</v>
      </c>
      <c r="Q162" s="80">
        <f t="shared" si="44"/>
        <v>17039</v>
      </c>
      <c r="R162" s="116">
        <f t="shared" si="46"/>
        <v>110.15738008729792</v>
      </c>
      <c r="T162" s="117">
        <v>680092.4</v>
      </c>
      <c r="U162" s="118">
        <v>625407.2</v>
      </c>
      <c r="V162" s="118">
        <v>642540.6</v>
      </c>
    </row>
    <row r="163" spans="1:22" s="108" customFormat="1" ht="39" customHeight="1">
      <c r="A163" s="81"/>
      <c r="B163" s="82" t="s">
        <v>180</v>
      </c>
      <c r="C163" s="83">
        <f>'[1]дох. МР'!C31-C160</f>
        <v>-1800.0999999999767</v>
      </c>
      <c r="D163" s="84">
        <v>0</v>
      </c>
      <c r="E163" s="85">
        <v>8000</v>
      </c>
      <c r="F163" s="85">
        <v>4500</v>
      </c>
      <c r="G163" s="85">
        <v>0</v>
      </c>
      <c r="H163" s="85">
        <v>9600</v>
      </c>
      <c r="I163" s="85" t="s">
        <v>49</v>
      </c>
      <c r="J163" s="85" t="s">
        <v>49</v>
      </c>
      <c r="K163" s="85" t="s">
        <v>49</v>
      </c>
      <c r="L163" s="85" t="s">
        <v>49</v>
      </c>
      <c r="M163" s="85" t="s">
        <v>49</v>
      </c>
      <c r="N163" s="85" t="s">
        <v>49</v>
      </c>
      <c r="O163" s="85" t="s">
        <v>49</v>
      </c>
      <c r="P163" s="85" t="s">
        <v>49</v>
      </c>
      <c r="Q163" s="85" t="s">
        <v>49</v>
      </c>
      <c r="R163" s="105">
        <f t="shared" si="46"/>
        <v>0.7315467336438343</v>
      </c>
      <c r="T163" s="106">
        <v>680092.4</v>
      </c>
      <c r="U163" s="107">
        <v>625407.2</v>
      </c>
      <c r="V163" s="107">
        <v>642540.6</v>
      </c>
    </row>
    <row r="164" spans="1:22" s="108" customFormat="1" ht="49.5" customHeight="1">
      <c r="A164" s="81"/>
      <c r="B164" s="82" t="s">
        <v>181</v>
      </c>
      <c r="C164" s="83">
        <f>C165+C166+C169</f>
        <v>3200</v>
      </c>
      <c r="D164" s="84">
        <f>D165+D166+D167+D168+D169</f>
        <v>0</v>
      </c>
      <c r="E164" s="85">
        <f>E165+E166+E167+E168+E169</f>
        <v>-8000</v>
      </c>
      <c r="F164" s="85">
        <f>F165+F166+F167+F168+F169</f>
        <v>-4500</v>
      </c>
      <c r="G164" s="85">
        <f>G165+G166+G167+G168+G169</f>
        <v>0</v>
      </c>
      <c r="H164" s="85">
        <f>H165+H166+H167+H168+H169</f>
        <v>-9600</v>
      </c>
      <c r="I164" s="85" t="s">
        <v>49</v>
      </c>
      <c r="J164" s="85" t="s">
        <v>49</v>
      </c>
      <c r="K164" s="85" t="s">
        <v>49</v>
      </c>
      <c r="L164" s="85" t="s">
        <v>49</v>
      </c>
      <c r="M164" s="85" t="s">
        <v>49</v>
      </c>
      <c r="N164" s="85" t="s">
        <v>49</v>
      </c>
      <c r="O164" s="85" t="s">
        <v>49</v>
      </c>
      <c r="P164" s="85" t="s">
        <v>49</v>
      </c>
      <c r="Q164" s="85" t="s">
        <v>49</v>
      </c>
      <c r="R164" s="105">
        <f t="shared" si="46"/>
        <v>-0.7315467336438343</v>
      </c>
      <c r="T164" s="106">
        <v>680092.4</v>
      </c>
      <c r="U164" s="107">
        <v>625407.2</v>
      </c>
      <c r="V164" s="107">
        <v>642540.6</v>
      </c>
    </row>
    <row r="165" spans="1:22" ht="65.25" customHeight="1">
      <c r="A165" s="129" t="s">
        <v>2</v>
      </c>
      <c r="B165" s="78" t="s">
        <v>182</v>
      </c>
      <c r="C165" s="79">
        <v>5200</v>
      </c>
      <c r="D165" s="20">
        <v>10700</v>
      </c>
      <c r="E165" s="80">
        <f>0</f>
        <v>0</v>
      </c>
      <c r="F165" s="80">
        <f>0</f>
        <v>0</v>
      </c>
      <c r="G165" s="80">
        <v>9600</v>
      </c>
      <c r="H165" s="80">
        <f>0</f>
        <v>0</v>
      </c>
      <c r="I165" s="80" t="s">
        <v>49</v>
      </c>
      <c r="J165" s="80" t="s">
        <v>49</v>
      </c>
      <c r="K165" s="80" t="s">
        <v>49</v>
      </c>
      <c r="L165" s="80" t="s">
        <v>49</v>
      </c>
      <c r="M165" s="80" t="s">
        <v>49</v>
      </c>
      <c r="N165" s="80" t="s">
        <v>49</v>
      </c>
      <c r="O165" s="80" t="s">
        <v>49</v>
      </c>
      <c r="P165" s="80" t="s">
        <v>49</v>
      </c>
      <c r="Q165" s="80" t="s">
        <v>49</v>
      </c>
      <c r="R165" s="116">
        <f t="shared" si="46"/>
        <v>0</v>
      </c>
      <c r="T165" s="117">
        <v>680092.4</v>
      </c>
      <c r="U165" s="118">
        <v>625407.2</v>
      </c>
      <c r="V165" s="118">
        <v>642540.6</v>
      </c>
    </row>
    <row r="166" spans="1:22" ht="55.5" customHeight="1">
      <c r="A166" s="77" t="s">
        <v>0</v>
      </c>
      <c r="B166" s="87" t="s">
        <v>183</v>
      </c>
      <c r="C166" s="79">
        <v>-2000</v>
      </c>
      <c r="D166" s="20">
        <v>-10000</v>
      </c>
      <c r="E166" s="80">
        <f>-8000</f>
        <v>-8000</v>
      </c>
      <c r="F166" s="80">
        <v>-4500</v>
      </c>
      <c r="G166" s="80">
        <v>0</v>
      </c>
      <c r="H166" s="80">
        <v>-9600</v>
      </c>
      <c r="I166" s="80" t="s">
        <v>49</v>
      </c>
      <c r="J166" s="80" t="s">
        <v>49</v>
      </c>
      <c r="K166" s="80" t="s">
        <v>49</v>
      </c>
      <c r="L166" s="80" t="s">
        <v>49</v>
      </c>
      <c r="M166" s="80" t="s">
        <v>49</v>
      </c>
      <c r="N166" s="80" t="s">
        <v>49</v>
      </c>
      <c r="O166" s="80" t="s">
        <v>49</v>
      </c>
      <c r="P166" s="80" t="s">
        <v>49</v>
      </c>
      <c r="Q166" s="80" t="s">
        <v>49</v>
      </c>
      <c r="R166" s="116">
        <f t="shared" si="46"/>
        <v>-0.7315467336438343</v>
      </c>
      <c r="T166" s="117">
        <v>680092.4</v>
      </c>
      <c r="U166" s="118">
        <v>625407.2</v>
      </c>
      <c r="V166" s="118">
        <v>642540.6</v>
      </c>
    </row>
    <row r="167" spans="1:18" ht="89.25" customHeight="1">
      <c r="A167" s="130" t="s">
        <v>4</v>
      </c>
      <c r="B167" s="87" t="s">
        <v>9</v>
      </c>
      <c r="C167" s="79"/>
      <c r="D167" s="20">
        <v>0</v>
      </c>
      <c r="E167" s="80">
        <v>0</v>
      </c>
      <c r="F167" s="80">
        <v>0</v>
      </c>
      <c r="G167" s="80">
        <v>0</v>
      </c>
      <c r="H167" s="80">
        <v>0</v>
      </c>
      <c r="I167" s="80" t="s">
        <v>49</v>
      </c>
      <c r="J167" s="80" t="s">
        <v>49</v>
      </c>
      <c r="K167" s="80" t="s">
        <v>49</v>
      </c>
      <c r="L167" s="80" t="s">
        <v>49</v>
      </c>
      <c r="M167" s="80" t="s">
        <v>49</v>
      </c>
      <c r="N167" s="80" t="s">
        <v>49</v>
      </c>
      <c r="O167" s="80" t="s">
        <v>49</v>
      </c>
      <c r="P167" s="80" t="s">
        <v>49</v>
      </c>
      <c r="Q167" s="80" t="s">
        <v>49</v>
      </c>
      <c r="R167" s="116">
        <f t="shared" si="46"/>
        <v>0</v>
      </c>
    </row>
    <row r="168" spans="1:18" ht="56.25">
      <c r="A168" s="130" t="s">
        <v>184</v>
      </c>
      <c r="B168" s="87" t="s">
        <v>3</v>
      </c>
      <c r="C168" s="79"/>
      <c r="D168" s="20">
        <v>-700</v>
      </c>
      <c r="E168" s="80">
        <v>0</v>
      </c>
      <c r="F168" s="80">
        <f>0</f>
        <v>0</v>
      </c>
      <c r="G168" s="80">
        <v>-9600</v>
      </c>
      <c r="H168" s="80">
        <v>0</v>
      </c>
      <c r="I168" s="80" t="s">
        <v>49</v>
      </c>
      <c r="J168" s="80" t="s">
        <v>49</v>
      </c>
      <c r="K168" s="80" t="s">
        <v>49</v>
      </c>
      <c r="L168" s="80" t="s">
        <v>49</v>
      </c>
      <c r="M168" s="80" t="s">
        <v>49</v>
      </c>
      <c r="N168" s="80" t="s">
        <v>49</v>
      </c>
      <c r="O168" s="80" t="s">
        <v>49</v>
      </c>
      <c r="P168" s="80" t="s">
        <v>49</v>
      </c>
      <c r="Q168" s="80" t="s">
        <v>49</v>
      </c>
      <c r="R168" s="116">
        <f t="shared" si="46"/>
        <v>0</v>
      </c>
    </row>
    <row r="169" spans="1:18" ht="32.25" customHeight="1">
      <c r="A169" s="77"/>
      <c r="B169" s="92" t="s">
        <v>185</v>
      </c>
      <c r="C169" s="89">
        <v>0</v>
      </c>
      <c r="D169" s="90">
        <v>0</v>
      </c>
      <c r="E169" s="80">
        <v>0</v>
      </c>
      <c r="F169" s="80">
        <v>0</v>
      </c>
      <c r="G169" s="80"/>
      <c r="H169" s="80"/>
      <c r="I169" s="80" t="s">
        <v>49</v>
      </c>
      <c r="J169" s="80" t="s">
        <v>49</v>
      </c>
      <c r="K169" s="80" t="s">
        <v>49</v>
      </c>
      <c r="L169" s="80" t="s">
        <v>49</v>
      </c>
      <c r="M169" s="80" t="s">
        <v>49</v>
      </c>
      <c r="N169" s="80" t="s">
        <v>49</v>
      </c>
      <c r="O169" s="80" t="s">
        <v>49</v>
      </c>
      <c r="P169" s="80" t="s">
        <v>49</v>
      </c>
      <c r="Q169" s="80" t="s">
        <v>49</v>
      </c>
      <c r="R169" s="116">
        <f t="shared" si="46"/>
        <v>0</v>
      </c>
    </row>
    <row r="170" spans="1:18" s="128" customFormat="1" ht="18.75">
      <c r="A170" s="11"/>
      <c r="B170" s="6"/>
      <c r="C170" s="7"/>
      <c r="D170" s="23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127"/>
    </row>
    <row r="171" spans="1:18" s="128" customFormat="1" ht="18.75">
      <c r="A171" s="11"/>
      <c r="B171" s="6"/>
      <c r="C171" s="7"/>
      <c r="D171" s="23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127"/>
    </row>
    <row r="172" spans="1:18" s="128" customFormat="1" ht="18.75">
      <c r="A172" s="11"/>
      <c r="B172" s="6"/>
      <c r="C172" s="7"/>
      <c r="D172" s="23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127"/>
    </row>
    <row r="173" spans="1:18" ht="18.75">
      <c r="A173" s="12"/>
      <c r="B173" s="8"/>
      <c r="C173" s="9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8"/>
    </row>
    <row r="174" spans="1:18" ht="18.75">
      <c r="A174" s="12"/>
      <c r="B174" s="8"/>
      <c r="C174" s="9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8"/>
    </row>
    <row r="175" spans="1:18" ht="18.75">
      <c r="A175" s="12"/>
      <c r="B175" s="8"/>
      <c r="C175" s="9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8"/>
    </row>
    <row r="176" spans="1:18" ht="18.75">
      <c r="A176" s="12"/>
      <c r="B176" s="8"/>
      <c r="C176" s="9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8"/>
    </row>
  </sheetData>
  <sheetProtection/>
  <mergeCells count="14">
    <mergeCell ref="M4:M5"/>
    <mergeCell ref="N4:N5"/>
    <mergeCell ref="O4:O5"/>
    <mergeCell ref="P4:P5"/>
    <mergeCell ref="Q4:Q5"/>
    <mergeCell ref="A32:A33"/>
    <mergeCell ref="A2:Q2"/>
    <mergeCell ref="A4:A5"/>
    <mergeCell ref="B4:B5"/>
    <mergeCell ref="C4:H4"/>
    <mergeCell ref="I4:I5"/>
    <mergeCell ref="J4:J5"/>
    <mergeCell ref="K4:K5"/>
    <mergeCell ref="L4:L5"/>
  </mergeCells>
  <printOptions/>
  <pageMargins left="0" right="0" top="0.7480314960629921" bottom="0" header="0.31496062992125984" footer="0.31496062992125984"/>
  <pageSetup fitToHeight="6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2017-11-23T07:33:17Z</cp:lastPrinted>
  <dcterms:created xsi:type="dcterms:W3CDTF">1996-10-08T23:32:33Z</dcterms:created>
  <dcterms:modified xsi:type="dcterms:W3CDTF">2017-11-23T07:39:37Z</dcterms:modified>
  <cp:category/>
  <cp:version/>
  <cp:contentType/>
  <cp:contentStatus/>
</cp:coreProperties>
</file>