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20" windowHeight="7320" firstSheet="4" activeTab="6"/>
  </bookViews>
  <sheets>
    <sheet name="Доходы РМР 2018-2020" sheetId="1" r:id="rId1"/>
    <sheet name="Расх РМР 2018-2020" sheetId="2" r:id="rId2"/>
    <sheet name="Конс доходы 2018-20 Свод" sheetId="3" r:id="rId3"/>
    <sheet name="Конс расходы 2018Свод" sheetId="4" r:id="rId4"/>
    <sheet name="Разб конс расх 2017 по МО" sheetId="5" r:id="rId5"/>
    <sheet name="Конс.расходы 2019 свод" sheetId="6" r:id="rId6"/>
    <sheet name="Конс.расх.2020 свод" sheetId="7" r:id="rId7"/>
  </sheets>
  <externalReferences>
    <externalReference r:id="rId10"/>
  </externalReferences>
  <definedNames>
    <definedName name="_xlnm.Print_Area" localSheetId="0">'Доходы РМР 2018-2020'!$A$1:$T$35</definedName>
    <definedName name="_xlnm.Print_Area" localSheetId="1">'Расх РМР 2018-2020'!$A$1:$Q$170</definedName>
  </definedNames>
  <calcPr fullCalcOnLoad="1"/>
</workbook>
</file>

<file path=xl/sharedStrings.xml><?xml version="1.0" encoding="utf-8"?>
<sst xmlns="http://schemas.openxmlformats.org/spreadsheetml/2006/main" count="1399" uniqueCount="395">
  <si>
    <t>Молодежная политика и оздоровление детей</t>
  </si>
  <si>
    <t>01 02 00 00 05 0000 810</t>
  </si>
  <si>
    <t>Общее образование</t>
  </si>
  <si>
    <t>(тыс. рублей)</t>
  </si>
  <si>
    <t>01 02 00 00 05 0000 710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</si>
  <si>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</si>
  <si>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01 03 01 00 05 0000 710</t>
  </si>
  <si>
    <t>Иные межбюджетные трансферты</t>
  </si>
  <si>
    <t>Обслуживание муниципального долга</t>
  </si>
  <si>
    <t>Периодическая печать и издания</t>
  </si>
  <si>
    <t>Другие вопросы в области образования</t>
  </si>
  <si>
    <t>Дошкольное образование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</si>
  <si>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</si>
  <si>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Охрана семьи и детства</t>
  </si>
  <si>
    <t>Расходы на судебные издержки и исполнение судебных решений</t>
  </si>
  <si>
    <t>Дотации</t>
  </si>
  <si>
    <t>ДОХОДЫ</t>
  </si>
  <si>
    <t>2012 год</t>
  </si>
  <si>
    <t>2015 год</t>
  </si>
  <si>
    <t>10000000000000000</t>
  </si>
  <si>
    <t xml:space="preserve">Налоговые и неналоговые доходы </t>
  </si>
  <si>
    <t>10102000010000100</t>
  </si>
  <si>
    <t>Налог на доходы физических лиц</t>
  </si>
  <si>
    <t>10302100010000110</t>
  </si>
  <si>
    <t>Акцизы (дорожный фонд)</t>
  </si>
  <si>
    <t>10502000000000100</t>
  </si>
  <si>
    <t xml:space="preserve">Единый налог на вмененный доход </t>
  </si>
  <si>
    <t>10503000000000100</t>
  </si>
  <si>
    <t>Сельхоз.налог</t>
  </si>
  <si>
    <t>10601000000000100</t>
  </si>
  <si>
    <t>Налог на имущество физ. лиц</t>
  </si>
  <si>
    <t>10604000000000100</t>
  </si>
  <si>
    <t>Транспортный налог</t>
  </si>
  <si>
    <t>10606000000000100</t>
  </si>
  <si>
    <t>Земельный налог</t>
  </si>
  <si>
    <t>10800000000000100</t>
  </si>
  <si>
    <t>Госпошлина</t>
  </si>
  <si>
    <t>11105010000000100</t>
  </si>
  <si>
    <t>Арендная плата за земли</t>
  </si>
  <si>
    <t>11105030000000100</t>
  </si>
  <si>
    <t>Аренда имущества и найм</t>
  </si>
  <si>
    <t>11201000010000100</t>
  </si>
  <si>
    <t>Плата за негативное воздействие на окружающую среду</t>
  </si>
  <si>
    <t>11303050050000100</t>
  </si>
  <si>
    <t>Доходы от предпринимательской деятельности</t>
  </si>
  <si>
    <t>11402000000000400</t>
  </si>
  <si>
    <t>Доходы от реализации имущества</t>
  </si>
  <si>
    <t>11600000000000000</t>
  </si>
  <si>
    <t>11600000000000100</t>
  </si>
  <si>
    <t>Штрафы от УВД</t>
  </si>
  <si>
    <t>20000000000000000</t>
  </si>
  <si>
    <t>БЕЗВОЗМЕЗДНЫЕ ПЕРЕЧИСЛЕНИЯ, в том числе:</t>
  </si>
  <si>
    <t>х</t>
  </si>
  <si>
    <t>Субсидии</t>
  </si>
  <si>
    <t xml:space="preserve">Субвенции </t>
  </si>
  <si>
    <t>в том числе на выполнение переданных полномочий в соответствии с заключенными соглашениями</t>
  </si>
  <si>
    <t>ИТОГО ДОХОДОВ</t>
  </si>
  <si>
    <t>в том числе собственные доходы</t>
  </si>
  <si>
    <t>Внутренние обороты</t>
  </si>
  <si>
    <t>ВСЕГО ДОХОДОВ БЕЗ ВНУТРЕННИХ ОБОРОТОВ</t>
  </si>
  <si>
    <t>РАСХОДЫ</t>
  </si>
  <si>
    <t>0100</t>
  </si>
  <si>
    <t>ОБЩЕГОСУДАРСТВЕННЫЕ ВОПРОСЫ</t>
  </si>
  <si>
    <t>0102</t>
  </si>
  <si>
    <t>Содержание Главы МР</t>
  </si>
  <si>
    <t>0103</t>
  </si>
  <si>
    <t>Районное Собрание</t>
  </si>
  <si>
    <t>0104</t>
  </si>
  <si>
    <t xml:space="preserve">Передаваемые полномочия </t>
  </si>
  <si>
    <t>глава администрации Ртищевского МР</t>
  </si>
  <si>
    <t>0106</t>
  </si>
  <si>
    <t>Финансовое управление администрации Ртищевского муниципального района</t>
  </si>
  <si>
    <t>Передаваемые полномочия</t>
  </si>
  <si>
    <t>Контрольно-счетный орган</t>
  </si>
  <si>
    <t>0107</t>
  </si>
  <si>
    <t>Обеспечение проведения выборов и референдумов</t>
  </si>
  <si>
    <t>0111</t>
  </si>
  <si>
    <t>Резервный фонд</t>
  </si>
  <si>
    <t>0113</t>
  </si>
  <si>
    <t>Другие общегосударственные вопросы, в т.ч.</t>
  </si>
  <si>
    <t>- налоги</t>
  </si>
  <si>
    <t>Исполнение полномочий, переданных из бюджета МО г.Ртищево, в соответствии с заключенными соглашениями по созданию, содержанию и организации деятельности ЕДДС</t>
  </si>
  <si>
    <t>Уплата чл.взносов в Ассоциацию</t>
  </si>
  <si>
    <t>Инвентаризация</t>
  </si>
  <si>
    <t>- содержание отдела субсидий за счет средств областного бюджета)</t>
  </si>
  <si>
    <t xml:space="preserve">- исполнение полномочий, переданных из бюджетов поселений, в соответствии с заключенными соглашениями на инвентаризацию </t>
  </si>
  <si>
    <t>0200</t>
  </si>
  <si>
    <t>НАЦИОНАЛЬНАЯ ОБОРОНА</t>
  </si>
  <si>
    <t>0203</t>
  </si>
  <si>
    <t>Мобилизационная и вневойсковая подготовка - ВОИНСКИЙ УЧЕТ</t>
  </si>
  <si>
    <t>0300</t>
  </si>
  <si>
    <t>0314</t>
  </si>
  <si>
    <t xml:space="preserve">Другие вопросы в области национальной безопасности и правоохранительной деятельности, </t>
  </si>
  <si>
    <t>в том числе :</t>
  </si>
  <si>
    <t>МЦП "По усилению борьбы с преступностью и охране правопорядка на территории Ртищевского района"</t>
  </si>
  <si>
    <t>МЦП "Профилактика терроризма и экстремизма в Ртищевском районе "</t>
  </si>
  <si>
    <t>Исполнение полномочий , переданных из бюджета МО г.Ртищево, в соответствии с заключенными соглашениями по созданию условий для деятельности добровольных формирований населения по охране общественного порядка                         ( на реализацию МЦП "Профилактика правонарушений в Ртищевском районе ")</t>
  </si>
  <si>
    <t>Исполнение полномочий, переданных из бюджета МО г.Ртищево, в соответствии с заключенными соглашениями на реализацию МЦП "Повышение безопасности дорожного движения в Ртищевском районе"</t>
  </si>
  <si>
    <t>0310</t>
  </si>
  <si>
    <t>Пожарная безопасность</t>
  </si>
  <si>
    <t>Муниципальные программы</t>
  </si>
  <si>
    <t>0400</t>
  </si>
  <si>
    <t>НАЦИОНАЛЬНАЯ ЭКОНОМИКА</t>
  </si>
  <si>
    <t>0409</t>
  </si>
  <si>
    <t>Дорожное хозяйство,</t>
  </si>
  <si>
    <t>0412</t>
  </si>
  <si>
    <t>Другие вопросы в области нац.экономики, в т.ч.</t>
  </si>
  <si>
    <t>0500</t>
  </si>
  <si>
    <t>ЖИЛИЩНО-КОММУНАЛЬНОЕ ХОЗЯЙСТВО</t>
  </si>
  <si>
    <t>0501</t>
  </si>
  <si>
    <t>Жилищное хозяйство, в том числе:</t>
  </si>
  <si>
    <t>реализация 185-ФЗ (кап.ремонт)</t>
  </si>
  <si>
    <t>0502</t>
  </si>
  <si>
    <t>Коммунальное хозяйство, в т.ч.</t>
  </si>
  <si>
    <t xml:space="preserve"> - Областные целевые программы</t>
  </si>
  <si>
    <t xml:space="preserve">Исполнение полномочий, переданных из бюджета МО г.Ртищево, в соответствии с заключенными соглашениями на организацию водоснабжения в границах поселений </t>
  </si>
  <si>
    <t xml:space="preserve">Исполнение полномочий, переданных из бюджетов поселений, в соответствии с заключенными соглашениями на организацию водоснабжения в границах поселений </t>
  </si>
  <si>
    <t>0503</t>
  </si>
  <si>
    <t>Благоустройство, в т.ч.</t>
  </si>
  <si>
    <t>Исполнение полномочий, переданных из бюджета МО г.Ртищево, в соответствии с заключенными соглашениями на освещение улиц</t>
  </si>
  <si>
    <t>озеленение</t>
  </si>
  <si>
    <t>содержание мест захоронений</t>
  </si>
  <si>
    <t>прочие расходы по благоустройству</t>
  </si>
  <si>
    <t>Исполнение полномочий, переданных из бюджета МО г.Ртищево, в соответствии с заключенными соглашениями  на прочее благоустройство</t>
  </si>
  <si>
    <t>Исполнение полномочий, переданных из бюджета МО г.Ртищево, в соответствии с заключенными соглашениями  на организацию благоустройства территории (на реализацию МЦП  "Комплексное благоустройство")</t>
  </si>
  <si>
    <t>0600</t>
  </si>
  <si>
    <t>ОХРАНА ОКРУЖАЮЩЕЙ СРЕДЫ</t>
  </si>
  <si>
    <t>0605</t>
  </si>
  <si>
    <t>Другие вопросы в области охраны окружающей среды- Муниципальные программы</t>
  </si>
  <si>
    <t>0700</t>
  </si>
  <si>
    <t xml:space="preserve">Управление образования администрации РМР </t>
  </si>
  <si>
    <t>зарплата и начисления на оплату труда</t>
  </si>
  <si>
    <t>налог на имущество</t>
  </si>
  <si>
    <t>транспортный налог</t>
  </si>
  <si>
    <t>0701</t>
  </si>
  <si>
    <t>0702</t>
  </si>
  <si>
    <t>в том числе:</t>
  </si>
  <si>
    <t xml:space="preserve">ДЮСШ </t>
  </si>
  <si>
    <t xml:space="preserve">Исполнение полномочий, переданных из бюджета МО г.Ртищево, в соответствии с заключенными соглашениями на развитие физической культуры и спорта (обеспечение деятельности ДЮСШ) </t>
  </si>
  <si>
    <t>0705</t>
  </si>
  <si>
    <t>Курсы</t>
  </si>
  <si>
    <t>Управление общего образования</t>
  </si>
  <si>
    <t>ММУ "ЦРБ"</t>
  </si>
  <si>
    <t>0707</t>
  </si>
  <si>
    <t>Мероприятия по проведению оздоровительной кампании детей</t>
  </si>
  <si>
    <t>Обеспечение деятельности подведомственных учреждений (ДОЛ "Ясный")</t>
  </si>
  <si>
    <t>0709</t>
  </si>
  <si>
    <t>Центральный аппарат</t>
  </si>
  <si>
    <t xml:space="preserve">Учебно-методические кабинеты, централизованные бухгалтерии, хозяйственные группы </t>
  </si>
  <si>
    <t>МЦП "Развитие дошкольного образования Ртищевского муниципального района" (строит-во детсада по ул.Октябрьской в г.Ртищево)</t>
  </si>
  <si>
    <t>0800</t>
  </si>
  <si>
    <t xml:space="preserve">КУЛЬТУРА И КИНЕМАТОГРАФИЯ </t>
  </si>
  <si>
    <t>0801</t>
  </si>
  <si>
    <t>- подписка</t>
  </si>
  <si>
    <t>0804</t>
  </si>
  <si>
    <t>Другие вопросы в области культуры</t>
  </si>
  <si>
    <t xml:space="preserve">Центральный аппарат </t>
  </si>
  <si>
    <t xml:space="preserve">Централизованная бухгалтерия 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</si>
  <si>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</si>
  <si>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</si>
  <si>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</si>
  <si>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</si>
  <si>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</si>
  <si>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 (в том числе 2000,0 т.р. средства местного бюджета на прочие расходы)</t>
  </si>
  <si>
    <t>0904</t>
  </si>
  <si>
    <t>Скорая медицинская помощь (в том числе 2000,0 т.р.  средства местного бюджета  на гсм)</t>
  </si>
  <si>
    <t>0909</t>
  </si>
  <si>
    <t>Другие вопросы в области здравоохранения и спорта</t>
  </si>
  <si>
    <t>налогов не ставили</t>
  </si>
  <si>
    <t>1000</t>
  </si>
  <si>
    <t>СОЦИАЛЬНАЯ ПОЛИТИКА</t>
  </si>
  <si>
    <t>1001</t>
  </si>
  <si>
    <t>Пенсионное обеспечение (доплаты к пенсии)</t>
  </si>
  <si>
    <t>1003</t>
  </si>
  <si>
    <t xml:space="preserve">  -льготы мед работникам</t>
  </si>
  <si>
    <t xml:space="preserve"> - доплата работникам д/садов</t>
  </si>
  <si>
    <t>1004</t>
  </si>
  <si>
    <t>1100</t>
  </si>
  <si>
    <t>ФИЗИЧЕСКАЯ КУЛЬТУРА И СПОРТ</t>
  </si>
  <si>
    <t>1101</t>
  </si>
  <si>
    <t xml:space="preserve">Физическая культура, в т.ч.: </t>
  </si>
  <si>
    <t>Налоги</t>
  </si>
  <si>
    <t xml:space="preserve">Исполнение полномочий, переданных из бюджета МО г.Ртищево, в соответствии с заключенными соглашениями на развитие физической культуры и спорта (обеспечение деятельности МСК "Локомотив" с учетом налогов 2000,1 тыс.руб.) </t>
  </si>
  <si>
    <t>1105</t>
  </si>
  <si>
    <t>Другие вопросы в области физкультуры и спорта, в том числе:</t>
  </si>
  <si>
    <t>1200</t>
  </si>
  <si>
    <t>СРЕДСТВА МАССОВОЙ ИНФОРМАЦИИ</t>
  </si>
  <si>
    <t>1202</t>
  </si>
  <si>
    <t>1300</t>
  </si>
  <si>
    <t>ОБСЛУЖИВАНИЕ МУНИЦИПАЛЬНОГО ДОЛГА</t>
  </si>
  <si>
    <t>1301</t>
  </si>
  <si>
    <t>1400</t>
  </si>
  <si>
    <t>МЕЖБЮДЖЕТНЫЕ ТРАНСФЕРТЫ ИЗ БЮДЖЕТА МУНИЦИПАЛЬНОГО РАЙОНА БЮДЖЕТАМ ПОСЕЛЕНИЙ</t>
  </si>
  <si>
    <t>1401</t>
  </si>
  <si>
    <t>Дотации на выравнивание бюджетной обеспеченности поселений, из них :</t>
  </si>
  <si>
    <t>Дотации на выравнивание бюджетной обеспеченности поселений из фонда финансовой поддержки Ртищевского района</t>
  </si>
  <si>
    <t>Дотации на выравнивание бюджетной обеспеченности поселений за счет субвенции из областного фонда компенсаций</t>
  </si>
  <si>
    <t>1403</t>
  </si>
  <si>
    <t>ИТОГО РАСХОДОВ</t>
  </si>
  <si>
    <t>в том числе внутренние обороты:</t>
  </si>
  <si>
    <t>ВСЕГО РАСХОДОВ БЕЗ ВНУТРЕННИХ ОБОРОТОВ</t>
  </si>
  <si>
    <t>РЕЗУЛЬТАТ ИСПОЛНЕНИЯ (ПРОФИЦИТ+, Дефицит-)</t>
  </si>
  <si>
    <t>ИСТОЧНИКИ ВНУТРЕННЕГО ФИНАНСИРОВАНИЯ ДЕФИЦИТА БЮДЖЕТА, ВСЕГО:</t>
  </si>
  <si>
    <t>Получение кредитов от кредитных организаций в валюте Российской Федерации</t>
  </si>
  <si>
    <t>Погашение кредитов, полученных от кредитных организаций в валюте Российской Федерации</t>
  </si>
  <si>
    <t>01 03 01 00 00 0000 810</t>
  </si>
  <si>
    <t>Изменение остатков средств бюджета</t>
  </si>
  <si>
    <t>2016 год</t>
  </si>
  <si>
    <t>Штрафы, санкции, возмещение ущерба, из них:</t>
  </si>
  <si>
    <t>субсидия из областного бюджета на проектирование и строительство автомобильных дорог общего пользования</t>
  </si>
  <si>
    <t>субсидия из областного бюджета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</si>
  <si>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мероприятия по землеустройству и землепользованию</t>
  </si>
  <si>
    <t>налог на имущество и транспортный налог</t>
  </si>
  <si>
    <t>Бюджет Муниципального района,    сумма</t>
  </si>
  <si>
    <t>Сельское хозяйство и рыболовство</t>
  </si>
  <si>
    <t>2017 год</t>
  </si>
  <si>
    <t>Код по бюджетной классификации</t>
  </si>
  <si>
    <t>20215000000000151</t>
  </si>
  <si>
    <t>20220000000000151</t>
  </si>
  <si>
    <t>20230000000000151</t>
  </si>
  <si>
    <t>20240000000000151</t>
  </si>
  <si>
    <t>0405</t>
  </si>
  <si>
    <t>Субвенция из областного бюджета на проведение мероприятий по отлову и содержанию безнадзорных животных</t>
  </si>
  <si>
    <t>Капитальный ремонт, ремонт и содержание автомобильных дорог общего пользования местного значения за счет средств местного бюджета (Софинансирование)</t>
  </si>
  <si>
    <t>Код</t>
  </si>
  <si>
    <t>Муниципальный район, сумма</t>
  </si>
  <si>
    <t>Свод поселений, сумма</t>
  </si>
  <si>
    <t>Консолидированный бюджет, сумма</t>
  </si>
  <si>
    <t>Налоговые и неналоговые доходы, в в том числе:</t>
  </si>
  <si>
    <t>Штрафы, санкции, возмещение ущерба, в т.ч.:</t>
  </si>
  <si>
    <t>20210000000000151</t>
  </si>
  <si>
    <t>Иные межбюджетные трансферты, в том числе :</t>
  </si>
  <si>
    <t>- из областного и федерального бюджета (на комплектование книжных фондов библиотек и оцифровку)</t>
  </si>
  <si>
    <t>- из бюджетов поселений на исполнение переданных полномочий в соответствии с заключенными соглашениями</t>
  </si>
  <si>
    <t>Распределение  расходов консолидированного бюджета Ртищевского муниципального района на 2017 год</t>
  </si>
  <si>
    <t>Мо г.Ртищево</t>
  </si>
  <si>
    <t>Краснозвезд. МО</t>
  </si>
  <si>
    <t>Макаров.МО</t>
  </si>
  <si>
    <t>Октяб.МО</t>
  </si>
  <si>
    <t>Салтык.МО</t>
  </si>
  <si>
    <t>Урус.МО</t>
  </si>
  <si>
    <t>Шило-Голиц.МО</t>
  </si>
  <si>
    <t>Консолидированный бюджет, сумма  *</t>
  </si>
  <si>
    <t>Районное Собрание/ Советы</t>
  </si>
  <si>
    <t>Центральный аппарат, в т.ч.</t>
  </si>
  <si>
    <t xml:space="preserve">Администрации </t>
  </si>
  <si>
    <t>Финансовые органы, в т.ч.</t>
  </si>
  <si>
    <t>Финансовое управление</t>
  </si>
  <si>
    <t>Передаваемые полномочия по формированию и исполнению бюджета</t>
  </si>
  <si>
    <t xml:space="preserve">МУ "ЦБ" </t>
  </si>
  <si>
    <t>организация деятельности ЕДДС</t>
  </si>
  <si>
    <t>Отдел по управл.имуществом (в том числе содержание отдела субсидий за счет средств областного бюджета)</t>
  </si>
  <si>
    <t>Оплата за газ для поддержания вечного огня</t>
  </si>
  <si>
    <t>Передаваемые полномочия (инвентаризация )</t>
  </si>
  <si>
    <t>Мобилизационная и вневойсковая подготовка - ВОИНСКИЙ УЧЕТ (средства федерального бюджета)</t>
  </si>
  <si>
    <t>ПРАВООХРАНИТЕЛЬНАЯ ДЕЯТЕЛЬНОСТЬ</t>
  </si>
  <si>
    <t>Другие вопросы в области национальной безопасности и правоохранительной деятельности</t>
  </si>
  <si>
    <t>Дорожное хозяйство</t>
  </si>
  <si>
    <t xml:space="preserve">субсидии из областного бюджета на капитальный ремонт, ремонт и содержание автомобильных дорог общего пользования местного значения </t>
  </si>
  <si>
    <t>МП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 за счет средств муниципального дорожного фонда (акцизы РМР+ акцизы поселений+ налоговые и неналоговые доходы РМР)</t>
  </si>
  <si>
    <t>Передаваемые полномочия по дорожной деятельности (ремонт дорог)</t>
  </si>
  <si>
    <t>Мероприятия по землеустройству</t>
  </si>
  <si>
    <t>кап.ремонт ж/ф и обязательные взносы за капитальный ремонт в Фонд</t>
  </si>
  <si>
    <t>Передаваемые полномочия по организации водоснабжения</t>
  </si>
  <si>
    <t>Благоустройство</t>
  </si>
  <si>
    <t>уличное освещение</t>
  </si>
  <si>
    <t>Передаваемые полномочия (на реализацию МЦП по комплексному благоустройству)</t>
  </si>
  <si>
    <t>Муниципальные программы (ВЦП по комплексному благоустройству )</t>
  </si>
  <si>
    <t>ОБРАЗОВАНИЕ</t>
  </si>
  <si>
    <t xml:space="preserve">Дошкольное образование </t>
  </si>
  <si>
    <t>налоги</t>
  </si>
  <si>
    <t>предприн</t>
  </si>
  <si>
    <t xml:space="preserve">Управление общего образования </t>
  </si>
  <si>
    <t xml:space="preserve">Детская школа искусств </t>
  </si>
  <si>
    <t>Обеспечение деятельности подведомственных учреждений (ДОЛ)</t>
  </si>
  <si>
    <t>Учебно-методические кабинеты, централизованные бухгалтерии, хозяйственные группы</t>
  </si>
  <si>
    <t xml:space="preserve">Отдел культуры и кино </t>
  </si>
  <si>
    <t>содержание учреждений культуры (ДК и библиотеки)</t>
  </si>
  <si>
    <t>противопожарные мероприятия</t>
  </si>
  <si>
    <t>подписка</t>
  </si>
  <si>
    <t>Социальное обеспечение , в т.ч.</t>
  </si>
  <si>
    <t xml:space="preserve">  -субсидии гражданам ( средства областного бюджета)</t>
  </si>
  <si>
    <t xml:space="preserve"> - муниципальные программы</t>
  </si>
  <si>
    <t xml:space="preserve">Физкультура, в т.ч.: </t>
  </si>
  <si>
    <t>МСК "Локомотив" , в т.ч.</t>
  </si>
  <si>
    <t>предп</t>
  </si>
  <si>
    <t>Дотации, в т.ч.</t>
  </si>
  <si>
    <t>в том числе внутренние обороты (трансферты м/у бюджетами):</t>
  </si>
  <si>
    <t>* Примечание из общей суммы расходов консолидированного бюджета исключаются суммы по передаваемым полномочиям из бюджетов поселений в бюджет района и межбюджетные трансферты из бюджета района бюджетам поселений</t>
  </si>
  <si>
    <t>Муниципальный район, Сумма</t>
  </si>
  <si>
    <t>Свод поселений, Сумма</t>
  </si>
  <si>
    <t>Консолидированный бюджет, Сумма</t>
  </si>
  <si>
    <t>МУ "АХГР"</t>
  </si>
  <si>
    <t>Прочие расходы (в т.ч. исполнит. листы)</t>
  </si>
  <si>
    <t>субсидии из областного бюджета на капитальный ремонт, ремонт и содержание автомобильных дорог общего пользования местного значения</t>
  </si>
  <si>
    <r>
      <t xml:space="preserve">Капитальный ремонт, ремонт и содержание автомобильных дорог общего пользования местного значения за счет средств местного бюджета </t>
    </r>
    <r>
      <rPr>
        <sz val="12"/>
        <color indexed="10"/>
        <rFont val="Times New Roman"/>
        <family val="1"/>
      </rPr>
      <t>(Софинансирование)</t>
    </r>
  </si>
  <si>
    <t xml:space="preserve"> - Целевые программы муниципальных образований</t>
  </si>
  <si>
    <t xml:space="preserve"> Муниципальные программы</t>
  </si>
  <si>
    <t>Распределение  доходов  бюджета Ртищевского муниципального района на 2018 год и на плановый период 2019 и 2020 годов</t>
  </si>
  <si>
    <t>2018 год</t>
  </si>
  <si>
    <t>2019 год</t>
  </si>
  <si>
    <t>2020 год</t>
  </si>
  <si>
    <t>Удельный вес в общей сумме доходов 2018 года, %</t>
  </si>
  <si>
    <t>Удельный вес в общей сумме доходов 2019 года, %</t>
  </si>
  <si>
    <t>Удельный вес в общей сумме доходов 2020 года, %</t>
  </si>
  <si>
    <t>Уд. вес в налоговых и неналоговых доходах района 2018 года, %</t>
  </si>
  <si>
    <t>Уд. вес в налоговых и неналоговых доходах района 2019 года, %</t>
  </si>
  <si>
    <t>Уд. вес в налоговых и неналоговых доходах района 2020 года, %</t>
  </si>
  <si>
    <t xml:space="preserve">Удельный вес в
общей сумме
расходов, на 2018 год, %
</t>
  </si>
  <si>
    <t>Динамика  2018 года к 2017 году,  %</t>
  </si>
  <si>
    <t xml:space="preserve">Отклонение 2018 года от 2017 год, тыс. рублей
</t>
  </si>
  <si>
    <t xml:space="preserve">Удельный вес в
общей сумме
расходов, на 2019 год, %
</t>
  </si>
  <si>
    <t>Динамика  2019 года к 2018 году,  %</t>
  </si>
  <si>
    <t xml:space="preserve">Отклонение 2019 года от 2018 год, тыс. рублей
</t>
  </si>
  <si>
    <t xml:space="preserve">Удельный вес в
общей сумме
расходов, на 2020 год, %
</t>
  </si>
  <si>
    <t>Динамика  2020 года к 2019 году,  %</t>
  </si>
  <si>
    <t xml:space="preserve">Отклонение 2020 года от 2019 год, тыс. рублей
</t>
  </si>
  <si>
    <t>Распределение  расходов  бюджета Ртищевского муниципального района на 2018 год и на плановый период 2019 и 2020 годов</t>
  </si>
  <si>
    <t>Выполнение других обязательств муниципального образования</t>
  </si>
  <si>
    <t>Мероприятия в сфере управления имуществом муниципального образования</t>
  </si>
  <si>
    <t>0703</t>
  </si>
  <si>
    <t>Подпрограмма "Организация отдыха, оздоровления и занятости детей и подростков" Основное мероприятие "Осуществление подвоза детей к месту отдыха (МУ ДОЛ «Ясный»)" и Основное мероприятие "Обеспечение временной трудовой занятости подростков 
общеобразовательных организаций в летний период"</t>
  </si>
  <si>
    <t>9=4-3</t>
  </si>
  <si>
    <t>12=5-4</t>
  </si>
  <si>
    <t>Отклонения   2018 года от  2017 года, тыс.руб.</t>
  </si>
  <si>
    <t>Отклонения 2019 года от 2018 года, тыс.руб.</t>
  </si>
  <si>
    <t>15=6-5</t>
  </si>
  <si>
    <t>Отклонения 2020 года от 2019 года, тыс.руб.</t>
  </si>
  <si>
    <t>13=5-4</t>
  </si>
  <si>
    <t>18=6-5</t>
  </si>
  <si>
    <t>10=(4/3)*100%</t>
  </si>
  <si>
    <t>14=(5/4)*100%</t>
  </si>
  <si>
    <t>17=(6/5)*100%</t>
  </si>
  <si>
    <t>8=(4/3)*100%</t>
  </si>
  <si>
    <t>11=(5/4)*100%</t>
  </si>
  <si>
    <t>14+(6/5)*100%</t>
  </si>
  <si>
    <t>Функционирование высшего должностного лица муниципального образования</t>
  </si>
  <si>
    <t>Функционирование местной администрации</t>
  </si>
  <si>
    <t>Финансовые органы и органы финансово - бюджетного надзора, в том числе:</t>
  </si>
  <si>
    <t>Контрольно-счетный орган администрации Ртищевского муниципального района</t>
  </si>
  <si>
    <t>Муниципальное учреждение "Административно-хозяйственная группа администрации Ртищевского муниципального района", из них:</t>
  </si>
  <si>
    <t>Муниципальное учреждение "Централизованная бухгалтерия администрации Ртищевского муниципального района"</t>
  </si>
  <si>
    <t>Уплата членских взносов в Ассоциацию "Совет муниципальных образований Саратовской области"</t>
  </si>
  <si>
    <t>Оценка недвижимости, признание прав и регулирование отношений по муниципальной собственности</t>
  </si>
  <si>
    <t xml:space="preserve">Отдел по управлению имуществом администрации Ртищевского муниципального района, из них:                                                                         </t>
  </si>
  <si>
    <t>НАЦИОНАЛЬНАЯ БЕЗОПАСНОСТЬ И ПРАВООХРАНИТЕЛЬНАЯ ДЕЯТЕЛЬНОСТЬ</t>
  </si>
  <si>
    <t>Муниципальная программа  "Развитие транспортной системы в Ртищевском муниципальном районе на 2017-2020 годы" 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  (дорожные знаки и разметка)</t>
  </si>
  <si>
    <t>Сельское хозяйство и рыболовство, в том числе:</t>
  </si>
  <si>
    <t>Муниципальная программа "Обеспечение населения доступным жильем и развитие жилищно-коммунальной инфраструктуры на 2014-2020 годы" Подпрограмма "Градостроительное планирование развития территорий поселений Ртищевского муниципального района на 2014 - 2020 годы"</t>
  </si>
  <si>
    <t>Капитальный ремонт муниципального жилищного фонда</t>
  </si>
  <si>
    <t>Коммунальное хозяйство, в том числе:</t>
  </si>
  <si>
    <t>Муниципальная программа "Обеспечение населения доступным жильем и развитие жилищно-коммунальной инфраструктуры на 2014-2020 годы" Подпрограмма "Модернизация коммунальной инфраструктуры Ртищевского муниципального района ", из них:</t>
  </si>
  <si>
    <t>Общее образование, в том числе:</t>
  </si>
  <si>
    <t>Управление общего образования, из них :</t>
  </si>
  <si>
    <t>Дополнительное образование детей, в том числе:</t>
  </si>
  <si>
    <t>Молодежная политика и оздоровление детей,в том числе:</t>
  </si>
  <si>
    <t>Муниципальная программа "Развитие системы образования на территории Ртищевского муниципального района на 2018 - 2020 годы" Основное мероприятие "Осуществление подвоза детей к месту отдыха (МУ ДОЛ «Ясный»)"; Основное мероприятие "Обеспечение временной трудовой занятости подростков общеобразовательных организаций в летний период"</t>
  </si>
  <si>
    <t>Реализация мероприятий муниципальной программы "Развитие системы образования на территории Ртищевского муниципального района на 2018 - 2020 годы"</t>
  </si>
  <si>
    <t>Культура, в том числе :</t>
  </si>
  <si>
    <t>Развитие библиотечной системы и культурно – досуговая  деятельность, из них:</t>
  </si>
  <si>
    <t>Другие вопросы в области культуры, в том числе:</t>
  </si>
  <si>
    <t>Реализация мероприятий муниципальной программы «Культура Ртищевского муниципального района на 2017 – 2020 годы»</t>
  </si>
  <si>
    <r>
      <t xml:space="preserve">"Развитие транспортной системы в Ртищевском муниципальном районе на 2017-2020 годы"МП Подпрограмма "Ремонт автомобильных дорог и искусственных сооружений на них в границах городских и сельских поселений" за счет средств муниципального дорожного фонда </t>
    </r>
    <r>
      <rPr>
        <sz val="14"/>
        <color indexed="9"/>
        <rFont val="Times New Roman"/>
        <family val="1"/>
      </rPr>
      <t>(акцизы РМР+ акцизы поселений+ налоговые и неналоговые доходы РМР)</t>
    </r>
  </si>
  <si>
    <t>Детская школа искусств, из них:</t>
  </si>
  <si>
    <t>Пенсионное обеспечение (доплаты к пенсиям муниципальных служащих)</t>
  </si>
  <si>
    <t>Социальное обеспечение населения, в том числе :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</si>
  <si>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</si>
  <si>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 xml:space="preserve">Субсидии гражданам на оплату жилого помещения и коммунальных услуг </t>
  </si>
  <si>
    <t xml:space="preserve"> Муниципальная программа "Обеспечение населения доступным жильем и развитие жилищно-коммунальной инфраструктуры на 2014-2020 годы" Подпрограмма "Обеспечение жилыми помещениями молодых семей"</t>
  </si>
  <si>
    <t>МЕЖБЮДЖЕТНЫЕ ТРАНСФЕРТЫ ОБЩЕГО ХАРАКТЕРА БЮДЖЕТАМ СУБЪЕКТОВ РОССИЙСКОЙ ФЕДЕРАЦИИ И МУНИЦИПАЛЬНЫХ ОБРАЗОВАНИЙ</t>
  </si>
  <si>
    <t>ВСЕГО  РАСХОДОВ</t>
  </si>
  <si>
    <t>Распределение  расходов консолидированного бюджета Ртищевского муниципального района на 2018 год</t>
  </si>
  <si>
    <t>Отдел по управлению имуществом администрации Ртищевского муниципального района, из них:    (в том числе содержание отдела субсидий за счет средств областного бюджета)</t>
  </si>
  <si>
    <t>Другие вопросы в области национальной безопасности и правоохранительной деятельности, в том числе :</t>
  </si>
  <si>
    <t>Дорожное хозяйство, в том числе :</t>
  </si>
  <si>
    <t>Мероприятия по землеустройству и землепользованию</t>
  </si>
  <si>
    <t>Молодежная политика и оздоровление детей, в том числе:</t>
  </si>
  <si>
    <t>Другие вопросы в области образования, в том числе:</t>
  </si>
  <si>
    <t>Другие вопросы в области культуры, в том числе :</t>
  </si>
  <si>
    <t>Социальное обеспечение населения , в т.ч.</t>
  </si>
  <si>
    <t xml:space="preserve"> Субсидии гражданам на оплату жилого помещения и коммунальных услуг</t>
  </si>
  <si>
    <t xml:space="preserve"> 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</si>
  <si>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Физическая культура</t>
  </si>
  <si>
    <t>Обеспечение деятельности подведомственных учреждений (ДОЛ"Ясный")</t>
  </si>
  <si>
    <t>Муниципальные программы (МП по  благоустройству территорий муниципальных образований ), из них :</t>
  </si>
  <si>
    <t xml:space="preserve"> поставка электроэнергии для работы уличного освещения"</t>
  </si>
  <si>
    <t xml:space="preserve"> уборка и содержание территорий кладбищ"</t>
  </si>
  <si>
    <t>Распределение  расходов консолидированного бюджета Ртищевского муниципального района на 2020 год</t>
  </si>
  <si>
    <t>Распределение  расходов консолидированного бюджета Ртищевского муниципального района на 2019 год</t>
  </si>
  <si>
    <t>РАСХОДЫ на  2019</t>
  </si>
  <si>
    <t>РАСХОДЫ на 2020 год</t>
  </si>
  <si>
    <t>РАСХОДЫ на 2018 год</t>
  </si>
  <si>
    <t xml:space="preserve"> уборка и содержание территорий кладбищ</t>
  </si>
  <si>
    <t>Салтык. МО</t>
  </si>
  <si>
    <t>Распределение  доходов консолидированного бюджета Ртищевского муниципального района на 2018 год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</si>
</sst>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000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* #,##0.000_);_(* \(#,##0.000\);_(* &quot;-&quot;??_);_(@_)"/>
    <numFmt numFmtId="180" formatCode="_(* #,##0.0_);_(* \(#,##0.0\);_(* &quot;-&quot;??_);_(@_)"/>
    <numFmt numFmtId="181" formatCode="_-* #,##0.0_р_._-;\-* #,##0.0_р_._-;_-* &quot;-&quot;?_р_._-;_-@_-"/>
    <numFmt numFmtId="182" formatCode="0.0"/>
    <numFmt numFmtId="183" formatCode="0.0%"/>
    <numFmt numFmtId="184" formatCode="_(* #,##0_);_(* \(#,##0\);_(* &quot;-&quot;??_);_(@_)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_ ;\-#,##0.00\ "/>
    <numFmt numFmtId="193" formatCode="#,##0.00;[Red]\-#,##0.00;0.00"/>
    <numFmt numFmtId="194" formatCode="00\.00\.00"/>
    <numFmt numFmtId="195" formatCode="000"/>
    <numFmt numFmtId="196" formatCode="0000000"/>
    <numFmt numFmtId="197" formatCode="#,##0.00_ ;[Red]\-#,##0.00\ "/>
    <numFmt numFmtId="198" formatCode="000000000"/>
    <numFmt numFmtId="199" formatCode="#,##0.000"/>
    <numFmt numFmtId="200" formatCode="#,##0.000_ ;\-#,##0.000\ "/>
  </numFmts>
  <fonts count="7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  <font>
      <b/>
      <i/>
      <sz val="13"/>
      <name val="Times New Roman"/>
      <family val="1"/>
    </font>
    <font>
      <sz val="14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Times New Roman"/>
      <family val="1"/>
    </font>
    <font>
      <b/>
      <sz val="13"/>
      <color indexed="9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b/>
      <sz val="13"/>
      <color theme="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80" fontId="7" fillId="0" borderId="0" xfId="0" applyNumberFormat="1" applyFont="1" applyFill="1" applyAlignment="1">
      <alignment horizontal="left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80" fontId="9" fillId="0" borderId="10" xfId="73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180" fontId="10" fillId="0" borderId="10" xfId="73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180" fontId="12" fillId="0" borderId="10" xfId="73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172" fontId="6" fillId="0" borderId="0" xfId="0" applyNumberFormat="1" applyFont="1" applyFill="1" applyAlignment="1">
      <alignment horizontal="left" vertical="top" wrapText="1"/>
    </xf>
    <xf numFmtId="18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80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80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2" fontId="5" fillId="0" borderId="10" xfId="73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182" fontId="6" fillId="0" borderId="0" xfId="0" applyNumberFormat="1" applyFont="1" applyFill="1" applyAlignment="1">
      <alignment horizontal="left"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10" fillId="0" borderId="10" xfId="73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172" fontId="17" fillId="0" borderId="10" xfId="73" applyNumberFormat="1" applyFont="1" applyFill="1" applyBorder="1" applyAlignment="1">
      <alignment horizontal="right" vertical="top" wrapText="1"/>
    </xf>
    <xf numFmtId="172" fontId="17" fillId="0" borderId="0" xfId="0" applyNumberFormat="1" applyFont="1" applyFill="1" applyAlignment="1">
      <alignment vertical="top" wrapText="1"/>
    </xf>
    <xf numFmtId="180" fontId="15" fillId="0" borderId="11" xfId="0" applyNumberFormat="1" applyFont="1" applyFill="1" applyBorder="1" applyAlignment="1">
      <alignment horizontal="center" vertical="center" wrapText="1"/>
    </xf>
    <xf numFmtId="172" fontId="17" fillId="0" borderId="10" xfId="73" applyNumberFormat="1" applyFont="1" applyFill="1" applyBorder="1" applyAlignment="1">
      <alignment horizontal="right" wrapText="1"/>
    </xf>
    <xf numFmtId="180" fontId="15" fillId="0" borderId="0" xfId="0" applyNumberFormat="1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right" vertical="center" wrapText="1"/>
    </xf>
    <xf numFmtId="180" fontId="17" fillId="0" borderId="10" xfId="73" applyNumberFormat="1" applyFont="1" applyFill="1" applyBorder="1" applyAlignment="1">
      <alignment horizontal="right" wrapText="1"/>
    </xf>
    <xf numFmtId="180" fontId="16" fillId="0" borderId="10" xfId="73" applyNumberFormat="1" applyFont="1" applyFill="1" applyBorder="1" applyAlignment="1">
      <alignment horizontal="right" wrapText="1"/>
    </xf>
    <xf numFmtId="172" fontId="8" fillId="0" borderId="10" xfId="73" applyNumberFormat="1" applyFont="1" applyFill="1" applyBorder="1" applyAlignment="1">
      <alignment horizontal="right" wrapText="1"/>
    </xf>
    <xf numFmtId="180" fontId="13" fillId="0" borderId="10" xfId="73" applyNumberFormat="1" applyFont="1" applyFill="1" applyBorder="1" applyAlignment="1">
      <alignment horizontal="right" wrapText="1"/>
    </xf>
    <xf numFmtId="180" fontId="17" fillId="0" borderId="0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right" vertical="top" wrapText="1"/>
    </xf>
    <xf numFmtId="180" fontId="17" fillId="0" borderId="0" xfId="0" applyNumberFormat="1" applyFont="1" applyFill="1" applyAlignment="1">
      <alignment horizontal="right" vertical="center" wrapText="1"/>
    </xf>
    <xf numFmtId="180" fontId="5" fillId="0" borderId="0" xfId="0" applyNumberFormat="1" applyFont="1" applyFill="1" applyAlignment="1">
      <alignment horizontal="right" vertical="top" wrapText="1"/>
    </xf>
    <xf numFmtId="180" fontId="6" fillId="0" borderId="0" xfId="0" applyNumberFormat="1" applyFont="1" applyFill="1" applyAlignment="1">
      <alignment horizontal="righ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top" wrapText="1"/>
    </xf>
    <xf numFmtId="172" fontId="6" fillId="4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2" fontId="6" fillId="1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top" wrapText="1"/>
    </xf>
    <xf numFmtId="172" fontId="7" fillId="0" borderId="0" xfId="0" applyNumberFormat="1" applyFont="1" applyFill="1" applyAlignment="1">
      <alignment horizontal="left" vertical="top" wrapText="1"/>
    </xf>
    <xf numFmtId="172" fontId="7" fillId="0" borderId="0" xfId="0" applyNumberFormat="1" applyFont="1" applyFill="1" applyAlignment="1">
      <alignment horizontal="center" vertical="top" wrapText="1"/>
    </xf>
    <xf numFmtId="0" fontId="6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172" fontId="68" fillId="0" borderId="0" xfId="0" applyNumberFormat="1" applyFont="1" applyFill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right" vertical="center" wrapText="1"/>
    </xf>
    <xf numFmtId="172" fontId="6" fillId="33" borderId="10" xfId="0" applyNumberFormat="1" applyFont="1" applyFill="1" applyBorder="1" applyAlignment="1">
      <alignment horizontal="left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69" fillId="0" borderId="0" xfId="0" applyNumberFormat="1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172" fontId="7" fillId="10" borderId="10" xfId="0" applyNumberFormat="1" applyFont="1" applyFill="1" applyBorder="1" applyAlignment="1">
      <alignment horizontal="center" vertical="center" wrapText="1"/>
    </xf>
    <xf numFmtId="172" fontId="7" fillId="10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72" fontId="7" fillId="0" borderId="11" xfId="0" applyNumberFormat="1" applyFont="1" applyFill="1" applyBorder="1" applyAlignment="1">
      <alignment horizontal="left" vertical="center" wrapText="1"/>
    </xf>
    <xf numFmtId="172" fontId="7" fillId="0" borderId="0" xfId="0" applyNumberFormat="1" applyFont="1" applyFill="1" applyAlignment="1">
      <alignment horizontal="left" vertical="center" wrapText="1"/>
    </xf>
    <xf numFmtId="172" fontId="6" fillId="35" borderId="10" xfId="0" applyNumberFormat="1" applyFont="1" applyFill="1" applyBorder="1" applyAlignment="1">
      <alignment horizontal="left" vertical="center" wrapText="1"/>
    </xf>
    <xf numFmtId="172" fontId="6" fillId="1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left" vertical="center" wrapText="1"/>
    </xf>
    <xf numFmtId="172" fontId="6" fillId="36" borderId="10" xfId="0" applyNumberFormat="1" applyFont="1" applyFill="1" applyBorder="1" applyAlignment="1">
      <alignment horizontal="left" vertical="center" wrapText="1"/>
    </xf>
    <xf numFmtId="172" fontId="5" fillId="35" borderId="10" xfId="0" applyNumberFormat="1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172" fontId="10" fillId="34" borderId="10" xfId="73" applyNumberFormat="1" applyFont="1" applyFill="1" applyBorder="1" applyAlignment="1">
      <alignment vertical="top" wrapText="1"/>
    </xf>
    <xf numFmtId="172" fontId="17" fillId="34" borderId="10" xfId="73" applyNumberFormat="1" applyFont="1" applyFill="1" applyBorder="1" applyAlignment="1">
      <alignment horizontal="right" vertical="top" wrapText="1"/>
    </xf>
    <xf numFmtId="172" fontId="70" fillId="0" borderId="13" xfId="0" applyNumberFormat="1" applyFont="1" applyFill="1" applyBorder="1" applyAlignment="1">
      <alignment horizontal="center"/>
    </xf>
    <xf numFmtId="172" fontId="70" fillId="0" borderId="10" xfId="0" applyNumberFormat="1" applyFont="1" applyFill="1" applyBorder="1" applyAlignment="1">
      <alignment horizontal="center"/>
    </xf>
    <xf numFmtId="183" fontId="8" fillId="0" borderId="10" xfId="73" applyNumberFormat="1" applyFont="1" applyFill="1" applyBorder="1" applyAlignment="1">
      <alignment horizontal="right" wrapText="1"/>
    </xf>
    <xf numFmtId="172" fontId="5" fillId="34" borderId="10" xfId="73" applyNumberFormat="1" applyFont="1" applyFill="1" applyBorder="1" applyAlignment="1">
      <alignment horizontal="right" wrapText="1"/>
    </xf>
    <xf numFmtId="180" fontId="17" fillId="0" borderId="10" xfId="73" applyNumberFormat="1" applyFont="1" applyFill="1" applyBorder="1" applyAlignment="1">
      <alignment wrapText="1"/>
    </xf>
    <xf numFmtId="172" fontId="20" fillId="0" borderId="10" xfId="73" applyNumberFormat="1" applyFont="1" applyFill="1" applyBorder="1" applyAlignment="1">
      <alignment horizontal="right" wrapText="1"/>
    </xf>
    <xf numFmtId="182" fontId="7" fillId="0" borderId="0" xfId="0" applyNumberFormat="1" applyFont="1" applyFill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180" fontId="17" fillId="34" borderId="10" xfId="73" applyNumberFormat="1" applyFont="1" applyFill="1" applyBorder="1" applyAlignment="1">
      <alignment horizontal="right" wrapText="1"/>
    </xf>
    <xf numFmtId="172" fontId="10" fillId="0" borderId="10" xfId="73" applyNumberFormat="1" applyFont="1" applyFill="1" applyBorder="1" applyAlignment="1">
      <alignment horizontal="right" wrapText="1"/>
    </xf>
    <xf numFmtId="183" fontId="21" fillId="0" borderId="10" xfId="73" applyNumberFormat="1" applyFont="1" applyFill="1" applyBorder="1" applyAlignment="1">
      <alignment horizontal="right" wrapText="1"/>
    </xf>
    <xf numFmtId="172" fontId="21" fillId="0" borderId="10" xfId="73" applyNumberFormat="1" applyFont="1" applyFill="1" applyBorder="1" applyAlignment="1">
      <alignment horizontal="right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80" fontId="9" fillId="34" borderId="10" xfId="73" applyNumberFormat="1" applyFont="1" applyFill="1" applyBorder="1" applyAlignment="1">
      <alignment wrapText="1"/>
    </xf>
    <xf numFmtId="180" fontId="16" fillId="34" borderId="10" xfId="73" applyNumberFormat="1" applyFont="1" applyFill="1" applyBorder="1" applyAlignment="1">
      <alignment horizontal="right" wrapText="1"/>
    </xf>
    <xf numFmtId="183" fontId="8" fillId="34" borderId="10" xfId="73" applyNumberFormat="1" applyFont="1" applyFill="1" applyBorder="1" applyAlignment="1">
      <alignment horizontal="right" wrapText="1"/>
    </xf>
    <xf numFmtId="172" fontId="8" fillId="34" borderId="10" xfId="73" applyNumberFormat="1" applyFont="1" applyFill="1" applyBorder="1" applyAlignment="1">
      <alignment horizontal="right" wrapText="1"/>
    </xf>
    <xf numFmtId="182" fontId="6" fillId="34" borderId="0" xfId="0" applyNumberFormat="1" applyFont="1" applyFill="1" applyAlignment="1">
      <alignment horizontal="left" vertical="top" wrapText="1"/>
    </xf>
    <xf numFmtId="172" fontId="70" fillId="34" borderId="13" xfId="0" applyNumberFormat="1" applyFont="1" applyFill="1" applyBorder="1" applyAlignment="1">
      <alignment horizontal="center"/>
    </xf>
    <xf numFmtId="172" fontId="70" fillId="34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left" vertical="top" wrapText="1"/>
    </xf>
    <xf numFmtId="180" fontId="9" fillId="34" borderId="10" xfId="73" applyNumberFormat="1" applyFont="1" applyFill="1" applyBorder="1" applyAlignment="1">
      <alignment horizontal="right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2" fontId="16" fillId="34" borderId="10" xfId="73" applyNumberFormat="1" applyFont="1" applyFill="1" applyBorder="1" applyAlignment="1">
      <alignment horizontal="right" wrapText="1"/>
    </xf>
    <xf numFmtId="180" fontId="10" fillId="34" borderId="10" xfId="73" applyNumberFormat="1" applyFont="1" applyFill="1" applyBorder="1" applyAlignment="1">
      <alignment wrapText="1"/>
    </xf>
    <xf numFmtId="172" fontId="17" fillId="34" borderId="10" xfId="73" applyNumberFormat="1" applyFont="1" applyFill="1" applyBorder="1" applyAlignment="1">
      <alignment horizontal="right" wrapText="1"/>
    </xf>
    <xf numFmtId="172" fontId="10" fillId="34" borderId="10" xfId="73" applyNumberFormat="1" applyFont="1" applyFill="1" applyBorder="1" applyAlignment="1">
      <alignment horizontal="right" vertical="top" wrapText="1"/>
    </xf>
    <xf numFmtId="172" fontId="5" fillId="0" borderId="10" xfId="73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72" fontId="17" fillId="0" borderId="10" xfId="73" applyNumberFormat="1" applyFont="1" applyFill="1" applyBorder="1" applyAlignment="1">
      <alignment vertical="top" wrapText="1"/>
    </xf>
    <xf numFmtId="172" fontId="20" fillId="0" borderId="10" xfId="73" applyNumberFormat="1" applyFont="1" applyFill="1" applyBorder="1" applyAlignment="1">
      <alignment horizontal="left" vertical="top" wrapText="1"/>
    </xf>
    <xf numFmtId="182" fontId="20" fillId="0" borderId="1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wrapText="1"/>
    </xf>
    <xf numFmtId="0" fontId="10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172" fontId="5" fillId="34" borderId="10" xfId="73" applyNumberFormat="1" applyFont="1" applyFill="1" applyBorder="1" applyAlignment="1">
      <alignment horizontal="left" vertical="top" wrapText="1"/>
    </xf>
    <xf numFmtId="183" fontId="5" fillId="34" borderId="10" xfId="73" applyNumberFormat="1" applyFont="1" applyFill="1" applyBorder="1" applyAlignment="1">
      <alignment horizontal="left" vertical="top" wrapText="1"/>
    </xf>
    <xf numFmtId="183" fontId="5" fillId="34" borderId="10" xfId="0" applyNumberFormat="1" applyFont="1" applyFill="1" applyBorder="1" applyAlignment="1">
      <alignment horizontal="left" vertical="top" wrapText="1"/>
    </xf>
    <xf numFmtId="172" fontId="5" fillId="34" borderId="10" xfId="0" applyNumberFormat="1" applyFont="1" applyFill="1" applyBorder="1" applyAlignment="1">
      <alignment horizontal="left" vertical="top" wrapText="1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vertical="top" wrapText="1"/>
    </xf>
    <xf numFmtId="172" fontId="20" fillId="0" borderId="14" xfId="0" applyNumberFormat="1" applyFont="1" applyFill="1" applyBorder="1" applyAlignment="1">
      <alignment horizontal="left" vertical="top" wrapText="1"/>
    </xf>
    <xf numFmtId="172" fontId="20" fillId="0" borderId="15" xfId="0" applyNumberFormat="1" applyFont="1" applyFill="1" applyBorder="1" applyAlignment="1">
      <alignment horizontal="left" vertical="top" wrapText="1"/>
    </xf>
    <xf numFmtId="183" fontId="20" fillId="0" borderId="10" xfId="73" applyNumberFormat="1" applyFont="1" applyFill="1" applyBorder="1" applyAlignment="1">
      <alignment horizontal="left" vertical="top" wrapText="1"/>
    </xf>
    <xf numFmtId="183" fontId="20" fillId="0" borderId="10" xfId="0" applyNumberFormat="1" applyFont="1" applyFill="1" applyBorder="1" applyAlignment="1">
      <alignment horizontal="left" vertical="top" wrapText="1"/>
    </xf>
    <xf numFmtId="172" fontId="20" fillId="0" borderId="1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vertical="top" wrapText="1"/>
    </xf>
    <xf numFmtId="172" fontId="20" fillId="0" borderId="14" xfId="0" applyNumberFormat="1" applyFont="1" applyFill="1" applyBorder="1" applyAlignment="1">
      <alignment horizontal="left" wrapText="1"/>
    </xf>
    <xf numFmtId="172" fontId="20" fillId="0" borderId="15" xfId="0" applyNumberFormat="1" applyFont="1" applyFill="1" applyBorder="1" applyAlignment="1">
      <alignment horizontal="left" wrapText="1"/>
    </xf>
    <xf numFmtId="183" fontId="5" fillId="0" borderId="10" xfId="73" applyNumberFormat="1" applyFont="1" applyFill="1" applyBorder="1" applyAlignment="1">
      <alignment horizontal="left" vertical="top" wrapText="1"/>
    </xf>
    <xf numFmtId="183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172" fontId="17" fillId="0" borderId="0" xfId="0" applyNumberFormat="1" applyFont="1" applyFill="1" applyAlignment="1">
      <alignment horizontal="left" vertical="top" wrapText="1"/>
    </xf>
    <xf numFmtId="0" fontId="5" fillId="0" borderId="11" xfId="0" applyFont="1" applyFill="1" applyBorder="1" applyAlignment="1">
      <alignment horizontal="center" wrapText="1"/>
    </xf>
    <xf numFmtId="172" fontId="1" fillId="0" borderId="10" xfId="73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80" fontId="10" fillId="0" borderId="10" xfId="73" applyNumberFormat="1" applyFont="1" applyFill="1" applyBorder="1" applyAlignment="1">
      <alignment horizontal="right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vertical="center" wrapText="1"/>
    </xf>
    <xf numFmtId="180" fontId="16" fillId="0" borderId="10" xfId="73" applyNumberFormat="1" applyFont="1" applyFill="1" applyBorder="1" applyAlignment="1">
      <alignment wrapText="1"/>
    </xf>
    <xf numFmtId="180" fontId="13" fillId="0" borderId="10" xfId="73" applyNumberFormat="1" applyFont="1" applyFill="1" applyBorder="1" applyAlignment="1">
      <alignment wrapText="1"/>
    </xf>
    <xf numFmtId="172" fontId="2" fillId="0" borderId="10" xfId="73" applyNumberFormat="1" applyFont="1" applyFill="1" applyBorder="1" applyAlignment="1">
      <alignment horizontal="right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83" fontId="16" fillId="0" borderId="10" xfId="73" applyNumberFormat="1" applyFont="1" applyFill="1" applyBorder="1" applyAlignment="1">
      <alignment horizontal="right" wrapText="1"/>
    </xf>
    <xf numFmtId="172" fontId="16" fillId="0" borderId="10" xfId="73" applyNumberFormat="1" applyFont="1" applyFill="1" applyBorder="1" applyAlignment="1">
      <alignment horizontal="right" wrapText="1"/>
    </xf>
    <xf numFmtId="182" fontId="15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172" fontId="71" fillId="0" borderId="13" xfId="0" applyNumberFormat="1" applyFont="1" applyFill="1" applyBorder="1" applyAlignment="1">
      <alignment horizontal="center"/>
    </xf>
    <xf numFmtId="172" fontId="7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72" fontId="10" fillId="0" borderId="15" xfId="0" applyNumberFormat="1" applyFont="1" applyFill="1" applyBorder="1" applyAlignment="1">
      <alignment horizontal="center" shrinkToFit="1"/>
    </xf>
    <xf numFmtId="183" fontId="9" fillId="0" borderId="10" xfId="73" applyNumberFormat="1" applyFont="1" applyFill="1" applyBorder="1" applyAlignment="1">
      <alignment horizontal="right" wrapText="1"/>
    </xf>
    <xf numFmtId="172" fontId="9" fillId="0" borderId="10" xfId="73" applyNumberFormat="1" applyFont="1" applyFill="1" applyBorder="1" applyAlignment="1">
      <alignment horizontal="right" wrapText="1"/>
    </xf>
    <xf numFmtId="182" fontId="23" fillId="0" borderId="0" xfId="0" applyNumberFormat="1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172" fontId="72" fillId="0" borderId="13" xfId="0" applyNumberFormat="1" applyFont="1" applyFill="1" applyBorder="1" applyAlignment="1">
      <alignment horizontal="center"/>
    </xf>
    <xf numFmtId="172" fontId="72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183" fontId="10" fillId="0" borderId="10" xfId="73" applyNumberFormat="1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172" fontId="69" fillId="34" borderId="0" xfId="0" applyNumberFormat="1" applyFont="1" applyFill="1" applyAlignment="1">
      <alignment horizontal="left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0" fontId="69" fillId="34" borderId="0" xfId="0" applyFont="1" applyFill="1" applyAlignment="1">
      <alignment horizontal="left" vertical="top" wrapText="1"/>
    </xf>
    <xf numFmtId="172" fontId="69" fillId="34" borderId="0" xfId="0" applyNumberFormat="1" applyFont="1" applyFill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172" fontId="68" fillId="34" borderId="0" xfId="0" applyNumberFormat="1" applyFont="1" applyFill="1" applyAlignment="1">
      <alignment horizontal="left" vertical="top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172" fontId="7" fillId="36" borderId="10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172" fontId="6" fillId="36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72" fontId="6" fillId="35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72" fontId="6" fillId="35" borderId="10" xfId="0" applyNumberFormat="1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172" fontId="7" fillId="0" borderId="0" xfId="0" applyNumberFormat="1" applyFont="1" applyFill="1" applyAlignment="1">
      <alignment horizontal="center" wrapText="1"/>
    </xf>
    <xf numFmtId="172" fontId="6" fillId="37" borderId="10" xfId="0" applyNumberFormat="1" applyFont="1" applyFill="1" applyBorder="1" applyAlignment="1">
      <alignment horizontal="right" vertical="center" wrapText="1"/>
    </xf>
    <xf numFmtId="172" fontId="6" fillId="36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49" fontId="73" fillId="0" borderId="23" xfId="0" applyNumberFormat="1" applyFont="1" applyFill="1" applyBorder="1" applyAlignment="1">
      <alignment horizontal="center" vertical="center" wrapText="1"/>
    </xf>
    <xf numFmtId="49" fontId="73" fillId="0" borderId="12" xfId="0" applyNumberFormat="1" applyFont="1" applyFill="1" applyBorder="1" applyAlignment="1">
      <alignment horizontal="center" vertical="center" wrapText="1"/>
    </xf>
    <xf numFmtId="49" fontId="73" fillId="0" borderId="11" xfId="0" applyNumberFormat="1" applyFont="1" applyFill="1" applyBorder="1" applyAlignment="1">
      <alignment horizontal="center" vertical="center" wrapText="1"/>
    </xf>
    <xf numFmtId="49" fontId="73" fillId="0" borderId="23" xfId="0" applyNumberFormat="1" applyFont="1" applyFill="1" applyBorder="1" applyAlignment="1">
      <alignment horizontal="center" wrapText="1"/>
    </xf>
    <xf numFmtId="49" fontId="73" fillId="0" borderId="12" xfId="0" applyNumberFormat="1" applyFont="1" applyFill="1" applyBorder="1" applyAlignment="1">
      <alignment horizont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6" fillId="11" borderId="10" xfId="0" applyFont="1" applyFill="1" applyBorder="1" applyAlignment="1">
      <alignment horizontal="center" vertical="top" wrapText="1"/>
    </xf>
    <xf numFmtId="0" fontId="6" fillId="18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6" fillId="2" borderId="20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30" xfId="60"/>
    <cellStyle name="Обычный 4" xfId="61"/>
    <cellStyle name="Обычный 5" xfId="62"/>
    <cellStyle name="Обычный 6" xfId="63"/>
    <cellStyle name="Обычный 7" xfId="64"/>
    <cellStyle name="Обычный 9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ihina\&#1084;&#1086;&#1080;%20&#1076;&#1086;&#1082;&#1091;&#1084;&#1077;&#1085;&#1090;&#1099;\Documents%20and%20Settings\User\&#1052;&#1086;&#1080;%20&#1076;&#1086;&#1082;&#1091;&#1084;&#1077;&#1085;&#1090;&#1099;\&#1053;&#1086;&#1074;&#1086;&#1077;%20&#1089;%202014\&#1041;&#1070;&#1044;&#1046;&#1045;&#1058;%20&#1085;&#1072;%202014%20&#1075;&#1086;&#1076;\&#1041;&#1102;&#1076;&#1078;&#1077;&#1090;&#1099;%20&#1087;&#1086;&#1089;&#1077;&#1083;&#1077;&#1085;&#1080;&#1081;%20&#1085;&#1072;%202014\&#1055;&#1088;&#1086;&#1077;&#1082;&#1090;%20&#1056;&#1052;&#1056;\&#1055;&#1088;&#1086;&#1077;&#1082;&#1090;%20&#1073;&#1102;&#1076;&#1078;%20&#1056;&#1052;&#1056;%202014\&#1055;&#1088;&#1086;&#1077;&#1082;&#1090;%20&#1076;&#1083;&#1103;%20&#1057;&#1086;&#1073;&#1088;&#1072;&#1085;&#1080;&#1103;\&#1053;&#1086;&#1074;&#1099;&#1077;%20&#1050;&#1062;&#1057;&#1056;%20&#1044;&#1083;&#1103;%20&#1057;&#1086;&#1073;&#1088;&#1072;&#1085;&#1080;&#1103;%20&#1055;&#1088;&#1086;&#1077;&#1082;&#1090;%20&#1073;&#1102;&#1076;&#1078;&#1077;&#1090;&#1072;%20&#1085;&#1072;%20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. МР"/>
      <sheetName val="расх МР"/>
      <sheetName val="конс.дох"/>
      <sheetName val="конс.расх по пос"/>
      <sheetName val="конс.расх для депут"/>
      <sheetName val="Прил 1 Безвозм"/>
      <sheetName val="Прил 2 Доходы"/>
      <sheetName val="Пр 6 Ведомств"/>
      <sheetName val="Прил 7 Разд.Подр"/>
      <sheetName val="Прил 8 МЦП "/>
      <sheetName val="Прил 11-Дотация РМР2289,9"/>
      <sheetName val="Прил 12-Дотация обл-2052,6"/>
      <sheetName val="Прил 13-Иные МТБ 6416,9"/>
      <sheetName val="Прил 14 Субв ВУС 851,4"/>
      <sheetName val="Прил 15 Источники"/>
      <sheetName val="Прил 16 Заимствования"/>
      <sheetName val="Прил 17 Гарантии"/>
      <sheetName val="Полномочия"/>
    </sheetNames>
    <sheetDataSet>
      <sheetData sheetId="0">
        <row r="31">
          <cell r="C31">
            <v>635112.4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93"/>
  <sheetViews>
    <sheetView view="pageBreakPreview" zoomScale="60" zoomScalePageLayoutView="0" workbookViewId="0" topLeftCell="A1">
      <selection activeCell="S9" sqref="S9"/>
    </sheetView>
  </sheetViews>
  <sheetFormatPr defaultColWidth="9.140625" defaultRowHeight="12.75"/>
  <cols>
    <col min="1" max="1" width="28.57421875" style="29" customWidth="1"/>
    <col min="2" max="2" width="80.421875" style="150" customWidth="1"/>
    <col min="3" max="3" width="25.28125" style="150" hidden="1" customWidth="1"/>
    <col min="4" max="4" width="14.140625" style="151" hidden="1" customWidth="1"/>
    <col min="5" max="6" width="15.421875" style="150" customWidth="1"/>
    <col min="7" max="7" width="15.7109375" style="150" customWidth="1"/>
    <col min="8" max="8" width="17.140625" style="150" customWidth="1"/>
    <col min="9" max="9" width="13.7109375" style="150" customWidth="1"/>
    <col min="10" max="10" width="14.57421875" style="150" customWidth="1"/>
    <col min="11" max="11" width="15.8515625" style="150" customWidth="1"/>
    <col min="12" max="12" width="11.8515625" style="150" customWidth="1"/>
    <col min="13" max="13" width="15.57421875" style="150" customWidth="1"/>
    <col min="14" max="14" width="16.00390625" style="150" customWidth="1"/>
    <col min="15" max="15" width="13.00390625" style="150" customWidth="1"/>
    <col min="16" max="16" width="12.8515625" style="150" customWidth="1"/>
    <col min="17" max="17" width="12.57421875" style="150" customWidth="1"/>
    <col min="18" max="19" width="11.8515625" style="150" customWidth="1"/>
    <col min="20" max="20" width="12.8515625" style="150" customWidth="1"/>
    <col min="21" max="22" width="14.8515625" style="150" customWidth="1"/>
    <col min="23" max="24" width="14.57421875" style="150" customWidth="1"/>
    <col min="25" max="25" width="20.8515625" style="150" customWidth="1"/>
    <col min="26" max="16384" width="9.140625" style="150" customWidth="1"/>
  </cols>
  <sheetData>
    <row r="1" spans="1:12" ht="33.75" customHeight="1">
      <c r="A1" s="263" t="s">
        <v>298</v>
      </c>
      <c r="B1" s="263"/>
      <c r="C1" s="263"/>
      <c r="D1" s="263"/>
      <c r="E1" s="263"/>
      <c r="F1" s="263"/>
      <c r="G1" s="263"/>
      <c r="H1" s="263"/>
      <c r="I1" s="263"/>
      <c r="J1" s="263"/>
      <c r="K1" s="149"/>
      <c r="L1" s="149"/>
    </row>
    <row r="2" ht="2.25" customHeight="1"/>
    <row r="3" ht="6.75" customHeight="1"/>
    <row r="4" spans="4:12" ht="24" customHeight="1">
      <c r="D4" s="264"/>
      <c r="E4" s="264"/>
      <c r="F4" s="264"/>
      <c r="G4" s="152"/>
      <c r="H4" s="152"/>
      <c r="I4" s="152"/>
      <c r="J4" s="152"/>
      <c r="K4" s="153" t="s">
        <v>3</v>
      </c>
      <c r="L4" s="153"/>
    </row>
    <row r="5" spans="1:20" ht="37.5" customHeight="1">
      <c r="A5" s="255" t="s">
        <v>216</v>
      </c>
      <c r="B5" s="255" t="s">
        <v>16</v>
      </c>
      <c r="C5" s="257" t="s">
        <v>213</v>
      </c>
      <c r="D5" s="258"/>
      <c r="E5" s="258"/>
      <c r="F5" s="258"/>
      <c r="G5" s="258"/>
      <c r="H5" s="259"/>
      <c r="I5" s="255" t="s">
        <v>302</v>
      </c>
      <c r="J5" s="260" t="s">
        <v>305</v>
      </c>
      <c r="K5" s="255" t="s">
        <v>324</v>
      </c>
      <c r="L5" s="261" t="s">
        <v>309</v>
      </c>
      <c r="M5" s="255" t="s">
        <v>303</v>
      </c>
      <c r="N5" s="260" t="s">
        <v>306</v>
      </c>
      <c r="O5" s="255" t="s">
        <v>325</v>
      </c>
      <c r="P5" s="261" t="s">
        <v>312</v>
      </c>
      <c r="Q5" s="255" t="s">
        <v>304</v>
      </c>
      <c r="R5" s="260" t="s">
        <v>307</v>
      </c>
      <c r="S5" s="261" t="s">
        <v>315</v>
      </c>
      <c r="T5" s="255" t="s">
        <v>327</v>
      </c>
    </row>
    <row r="6" spans="1:26" s="157" customFormat="1" ht="183.75" customHeight="1">
      <c r="A6" s="265"/>
      <c r="B6" s="265"/>
      <c r="C6" s="154" t="s">
        <v>17</v>
      </c>
      <c r="D6" s="155" t="s">
        <v>18</v>
      </c>
      <c r="E6" s="156" t="s">
        <v>215</v>
      </c>
      <c r="F6" s="156" t="s">
        <v>299</v>
      </c>
      <c r="G6" s="156" t="s">
        <v>300</v>
      </c>
      <c r="H6" s="156" t="s">
        <v>301</v>
      </c>
      <c r="I6" s="256"/>
      <c r="J6" s="256"/>
      <c r="K6" s="256"/>
      <c r="L6" s="262"/>
      <c r="M6" s="256"/>
      <c r="N6" s="256"/>
      <c r="O6" s="256"/>
      <c r="P6" s="262"/>
      <c r="Q6" s="256"/>
      <c r="R6" s="256"/>
      <c r="S6" s="262"/>
      <c r="T6" s="256"/>
      <c r="U6" s="157">
        <v>2018</v>
      </c>
      <c r="V6" s="157">
        <v>2018</v>
      </c>
      <c r="W6" s="157">
        <v>2019</v>
      </c>
      <c r="X6" s="157">
        <v>2019</v>
      </c>
      <c r="Y6" s="157">
        <v>2020</v>
      </c>
      <c r="Z6" s="157">
        <v>2020</v>
      </c>
    </row>
    <row r="7" spans="1:26" s="159" customFormat="1" ht="47.25" customHeight="1">
      <c r="A7" s="158">
        <v>1</v>
      </c>
      <c r="B7" s="158">
        <v>2</v>
      </c>
      <c r="C7" s="185">
        <v>3</v>
      </c>
      <c r="D7" s="185"/>
      <c r="E7" s="185">
        <v>3</v>
      </c>
      <c r="F7" s="185">
        <v>4</v>
      </c>
      <c r="G7" s="185">
        <v>5</v>
      </c>
      <c r="H7" s="185">
        <v>6</v>
      </c>
      <c r="I7" s="185">
        <v>7</v>
      </c>
      <c r="J7" s="185">
        <v>8</v>
      </c>
      <c r="K7" s="158" t="s">
        <v>322</v>
      </c>
      <c r="L7" s="158" t="s">
        <v>330</v>
      </c>
      <c r="M7" s="158">
        <v>11</v>
      </c>
      <c r="N7" s="158">
        <v>12</v>
      </c>
      <c r="O7" s="158" t="s">
        <v>328</v>
      </c>
      <c r="P7" s="158" t="s">
        <v>331</v>
      </c>
      <c r="Q7" s="158">
        <v>15</v>
      </c>
      <c r="R7" s="158">
        <v>16</v>
      </c>
      <c r="S7" s="158" t="s">
        <v>332</v>
      </c>
      <c r="T7" s="158" t="s">
        <v>329</v>
      </c>
      <c r="U7" s="159">
        <v>684592.4</v>
      </c>
      <c r="V7" s="159">
        <v>170110.4</v>
      </c>
      <c r="W7" s="159">
        <v>625407.2</v>
      </c>
      <c r="X7" s="159">
        <v>176575</v>
      </c>
      <c r="Y7" s="159">
        <v>652140.6</v>
      </c>
      <c r="Z7" s="159">
        <v>183285</v>
      </c>
    </row>
    <row r="8" spans="1:20" s="157" customFormat="1" ht="12.75" customHeight="1" hidden="1">
      <c r="A8" s="17"/>
      <c r="B8" s="17"/>
      <c r="C8" s="160"/>
      <c r="D8" s="161"/>
      <c r="E8" s="160"/>
      <c r="F8" s="160"/>
      <c r="G8" s="160"/>
      <c r="H8" s="160"/>
      <c r="I8" s="160"/>
      <c r="J8" s="160"/>
      <c r="K8" s="162"/>
      <c r="L8" s="162"/>
      <c r="M8" s="163"/>
      <c r="N8" s="163"/>
      <c r="O8" s="163"/>
      <c r="P8" s="163"/>
      <c r="Q8" s="163"/>
      <c r="R8" s="163"/>
      <c r="S8" s="163"/>
      <c r="T8" s="163"/>
    </row>
    <row r="9" spans="1:26" s="169" customFormat="1" ht="42" customHeight="1">
      <c r="A9" s="110" t="s">
        <v>19</v>
      </c>
      <c r="B9" s="111" t="s">
        <v>20</v>
      </c>
      <c r="C9" s="112">
        <f aca="true" t="shared" si="0" ref="C9:H9">SUM(C10:C23)</f>
        <v>151022.9</v>
      </c>
      <c r="D9" s="142">
        <f t="shared" si="0"/>
        <v>140527.3</v>
      </c>
      <c r="E9" s="164">
        <f t="shared" si="0"/>
        <v>168170.5</v>
      </c>
      <c r="F9" s="164">
        <f t="shared" si="0"/>
        <v>170110.4</v>
      </c>
      <c r="G9" s="164">
        <f t="shared" si="0"/>
        <v>176575</v>
      </c>
      <c r="H9" s="164">
        <f t="shared" si="0"/>
        <v>183285</v>
      </c>
      <c r="I9" s="165">
        <f aca="true" t="shared" si="1" ref="I9:I34">F9/U9</f>
        <v>0.24848420753721484</v>
      </c>
      <c r="J9" s="165">
        <f aca="true" t="shared" si="2" ref="J9:J23">F9/V9</f>
        <v>1</v>
      </c>
      <c r="K9" s="164">
        <f>F9-E9</f>
        <v>1939.8999999999942</v>
      </c>
      <c r="L9" s="165">
        <f>F9/E9</f>
        <v>1.0115353168361871</v>
      </c>
      <c r="M9" s="166">
        <f aca="true" t="shared" si="3" ref="M9:M34">G9/W9</f>
        <v>0.2823360524151305</v>
      </c>
      <c r="N9" s="166">
        <f aca="true" t="shared" si="4" ref="N9:N23">G9/X9</f>
        <v>1</v>
      </c>
      <c r="O9" s="167">
        <f>G9-F9</f>
        <v>6464.600000000006</v>
      </c>
      <c r="P9" s="166">
        <f>G9/F9</f>
        <v>1.0380023796311102</v>
      </c>
      <c r="Q9" s="166">
        <f aca="true" t="shared" si="5" ref="Q9:Q34">H9/Y9</f>
        <v>0.28105135610326976</v>
      </c>
      <c r="R9" s="166">
        <f aca="true" t="shared" si="6" ref="R9:R24">H9/Z9</f>
        <v>1</v>
      </c>
      <c r="S9" s="166">
        <f>H9/G9</f>
        <v>1.0380008494973807</v>
      </c>
      <c r="T9" s="167">
        <f aca="true" t="shared" si="7" ref="T9:T34">H9-G9</f>
        <v>6710</v>
      </c>
      <c r="U9" s="168">
        <v>684592.4</v>
      </c>
      <c r="V9" s="168">
        <v>170110.4</v>
      </c>
      <c r="W9" s="168">
        <v>625407.2</v>
      </c>
      <c r="X9" s="168">
        <v>176575</v>
      </c>
      <c r="Y9" s="168">
        <v>652140.6</v>
      </c>
      <c r="Z9" s="168">
        <v>183285</v>
      </c>
    </row>
    <row r="10" spans="1:26" s="176" customFormat="1" ht="18.75">
      <c r="A10" s="144" t="s">
        <v>21</v>
      </c>
      <c r="B10" s="145" t="s">
        <v>22</v>
      </c>
      <c r="C10" s="146">
        <v>106369</v>
      </c>
      <c r="D10" s="37">
        <v>104870</v>
      </c>
      <c r="E10" s="147">
        <v>108614.8</v>
      </c>
      <c r="F10" s="170">
        <v>113067</v>
      </c>
      <c r="G10" s="170">
        <v>117364</v>
      </c>
      <c r="H10" s="171">
        <v>121824</v>
      </c>
      <c r="I10" s="172">
        <f t="shared" si="1"/>
        <v>0.1651595898522975</v>
      </c>
      <c r="J10" s="172">
        <f t="shared" si="2"/>
        <v>0.664668356549629</v>
      </c>
      <c r="K10" s="147">
        <f aca="true" t="shared" si="8" ref="K10:K34">F10-E10</f>
        <v>4452.199999999997</v>
      </c>
      <c r="L10" s="179">
        <f aca="true" t="shared" si="9" ref="L10:L34">F10/E10</f>
        <v>1.0409907305450086</v>
      </c>
      <c r="M10" s="173">
        <f t="shared" si="3"/>
        <v>0.18766013566840933</v>
      </c>
      <c r="N10" s="173">
        <f t="shared" si="4"/>
        <v>0.6646694039360045</v>
      </c>
      <c r="O10" s="174">
        <f aca="true" t="shared" si="10" ref="O10:O34">G10-F10</f>
        <v>4297</v>
      </c>
      <c r="P10" s="180">
        <f aca="true" t="shared" si="11" ref="P10:P34">G10/F10</f>
        <v>1.038004015318351</v>
      </c>
      <c r="Q10" s="173">
        <f t="shared" si="5"/>
        <v>0.18680634206795282</v>
      </c>
      <c r="R10" s="173">
        <f t="shared" si="6"/>
        <v>0.6646697765774613</v>
      </c>
      <c r="S10" s="180">
        <f aca="true" t="shared" si="12" ref="S10:S34">H10/G10</f>
        <v>1.0380014314440544</v>
      </c>
      <c r="T10" s="174">
        <f t="shared" si="7"/>
        <v>4460</v>
      </c>
      <c r="U10" s="175">
        <v>684592.4</v>
      </c>
      <c r="V10" s="175">
        <v>170110.4</v>
      </c>
      <c r="W10" s="175">
        <v>625407.2</v>
      </c>
      <c r="X10" s="175">
        <v>176575</v>
      </c>
      <c r="Y10" s="175">
        <v>652140.6</v>
      </c>
      <c r="Z10" s="175">
        <v>183285</v>
      </c>
    </row>
    <row r="11" spans="1:26" s="176" customFormat="1" ht="26.25" customHeight="1">
      <c r="A11" s="144" t="s">
        <v>23</v>
      </c>
      <c r="B11" s="145" t="s">
        <v>24</v>
      </c>
      <c r="C11" s="146">
        <v>0</v>
      </c>
      <c r="D11" s="37">
        <v>3607.4</v>
      </c>
      <c r="E11" s="147">
        <f>23137.5</f>
        <v>23137.5</v>
      </c>
      <c r="F11" s="177">
        <f>18984.4</f>
        <v>18984.4</v>
      </c>
      <c r="G11" s="177">
        <v>19706</v>
      </c>
      <c r="H11" s="178">
        <v>20455</v>
      </c>
      <c r="I11" s="172">
        <f t="shared" si="1"/>
        <v>0.027730953484146188</v>
      </c>
      <c r="J11" s="172">
        <f t="shared" si="2"/>
        <v>0.11160046652056548</v>
      </c>
      <c r="K11" s="147">
        <f t="shared" si="8"/>
        <v>-4153.0999999999985</v>
      </c>
      <c r="L11" s="179">
        <f t="shared" si="9"/>
        <v>0.8205035116153431</v>
      </c>
      <c r="M11" s="173">
        <f t="shared" si="3"/>
        <v>0.03150907120992531</v>
      </c>
      <c r="N11" s="173">
        <f t="shared" si="4"/>
        <v>0.11160130256265043</v>
      </c>
      <c r="O11" s="174">
        <f t="shared" si="10"/>
        <v>721.5999999999985</v>
      </c>
      <c r="P11" s="180">
        <f t="shared" si="11"/>
        <v>1.0380101557067907</v>
      </c>
      <c r="Q11" s="173">
        <f t="shared" si="5"/>
        <v>0.031365935505318944</v>
      </c>
      <c r="R11" s="173">
        <f t="shared" si="6"/>
        <v>0.11160214965763701</v>
      </c>
      <c r="S11" s="180">
        <f t="shared" si="12"/>
        <v>1.0380087283060997</v>
      </c>
      <c r="T11" s="174">
        <f t="shared" si="7"/>
        <v>749</v>
      </c>
      <c r="U11" s="175">
        <v>684592.4</v>
      </c>
      <c r="V11" s="175">
        <v>170110.4</v>
      </c>
      <c r="W11" s="175">
        <v>625407.2</v>
      </c>
      <c r="X11" s="175">
        <v>176575</v>
      </c>
      <c r="Y11" s="175">
        <v>652140.6</v>
      </c>
      <c r="Z11" s="175">
        <v>183285</v>
      </c>
    </row>
    <row r="12" spans="1:26" s="176" customFormat="1" ht="18.75">
      <c r="A12" s="144" t="s">
        <v>25</v>
      </c>
      <c r="B12" s="148" t="s">
        <v>26</v>
      </c>
      <c r="C12" s="146">
        <v>18000</v>
      </c>
      <c r="D12" s="37">
        <v>19000</v>
      </c>
      <c r="E12" s="147">
        <f>19000</f>
        <v>19000</v>
      </c>
      <c r="F12" s="177">
        <v>17200</v>
      </c>
      <c r="G12" s="177">
        <v>17854</v>
      </c>
      <c r="H12" s="178">
        <v>18532</v>
      </c>
      <c r="I12" s="172">
        <f t="shared" si="1"/>
        <v>0.025124439009255727</v>
      </c>
      <c r="J12" s="172">
        <f t="shared" si="2"/>
        <v>0.10111080803995523</v>
      </c>
      <c r="K12" s="147">
        <f t="shared" si="8"/>
        <v>-1800</v>
      </c>
      <c r="L12" s="179">
        <f t="shared" si="9"/>
        <v>0.9052631578947369</v>
      </c>
      <c r="M12" s="173">
        <f t="shared" si="3"/>
        <v>0.02854780053699414</v>
      </c>
      <c r="N12" s="173">
        <f t="shared" si="4"/>
        <v>0.1011128415687385</v>
      </c>
      <c r="O12" s="174">
        <f t="shared" si="10"/>
        <v>654</v>
      </c>
      <c r="P12" s="180">
        <f t="shared" si="11"/>
        <v>1.0380232558139535</v>
      </c>
      <c r="Q12" s="173">
        <f t="shared" si="5"/>
        <v>0.028417184883137166</v>
      </c>
      <c r="R12" s="173">
        <f t="shared" si="6"/>
        <v>0.10111029271353357</v>
      </c>
      <c r="S12" s="180">
        <f t="shared" si="12"/>
        <v>1.0379746835443038</v>
      </c>
      <c r="T12" s="174">
        <f t="shared" si="7"/>
        <v>678</v>
      </c>
      <c r="U12" s="175">
        <v>684592.4</v>
      </c>
      <c r="V12" s="175">
        <v>170110.4</v>
      </c>
      <c r="W12" s="175">
        <v>625407.2</v>
      </c>
      <c r="X12" s="175">
        <v>176575</v>
      </c>
      <c r="Y12" s="175">
        <v>652140.6</v>
      </c>
      <c r="Z12" s="175">
        <v>183285</v>
      </c>
    </row>
    <row r="13" spans="1:26" s="176" customFormat="1" ht="18.75">
      <c r="A13" s="144" t="s">
        <v>27</v>
      </c>
      <c r="B13" s="145" t="s">
        <v>28</v>
      </c>
      <c r="C13" s="146">
        <v>1041</v>
      </c>
      <c r="D13" s="37">
        <v>3500</v>
      </c>
      <c r="E13" s="147">
        <f>6481</f>
        <v>6481</v>
      </c>
      <c r="F13" s="170">
        <v>8865</v>
      </c>
      <c r="G13" s="177">
        <v>9201</v>
      </c>
      <c r="H13" s="178">
        <v>9551</v>
      </c>
      <c r="I13" s="172">
        <f t="shared" si="1"/>
        <v>0.012949311152154187</v>
      </c>
      <c r="J13" s="172">
        <f t="shared" si="2"/>
        <v>0.05211321588803507</v>
      </c>
      <c r="K13" s="147">
        <f t="shared" si="8"/>
        <v>2384</v>
      </c>
      <c r="L13" s="179">
        <f t="shared" si="9"/>
        <v>1.3678444684462274</v>
      </c>
      <c r="M13" s="173">
        <f t="shared" si="3"/>
        <v>0.014712014828099198</v>
      </c>
      <c r="N13" s="173">
        <f t="shared" si="4"/>
        <v>0.052108169333144556</v>
      </c>
      <c r="O13" s="174">
        <f t="shared" si="10"/>
        <v>336</v>
      </c>
      <c r="P13" s="180">
        <f t="shared" si="11"/>
        <v>1.0379018612521151</v>
      </c>
      <c r="Q13" s="173">
        <f t="shared" si="5"/>
        <v>0.014645614764668847</v>
      </c>
      <c r="R13" s="173">
        <f t="shared" si="6"/>
        <v>0.05211010175409881</v>
      </c>
      <c r="S13" s="180">
        <f t="shared" si="12"/>
        <v>1.0380393435496142</v>
      </c>
      <c r="T13" s="174">
        <f t="shared" si="7"/>
        <v>350</v>
      </c>
      <c r="U13" s="175">
        <v>684592.4</v>
      </c>
      <c r="V13" s="175">
        <v>170110.4</v>
      </c>
      <c r="W13" s="175">
        <v>625407.2</v>
      </c>
      <c r="X13" s="175">
        <v>176575</v>
      </c>
      <c r="Y13" s="175">
        <v>652140.6</v>
      </c>
      <c r="Z13" s="175">
        <v>183285</v>
      </c>
    </row>
    <row r="14" spans="1:26" s="176" customFormat="1" ht="18.75" hidden="1">
      <c r="A14" s="144" t="s">
        <v>29</v>
      </c>
      <c r="B14" s="145" t="s">
        <v>30</v>
      </c>
      <c r="C14" s="146"/>
      <c r="D14" s="37"/>
      <c r="E14" s="147"/>
      <c r="F14" s="147"/>
      <c r="G14" s="147"/>
      <c r="H14" s="147"/>
      <c r="I14" s="172">
        <f t="shared" si="1"/>
        <v>0</v>
      </c>
      <c r="J14" s="172">
        <f t="shared" si="2"/>
        <v>0</v>
      </c>
      <c r="K14" s="147">
        <f t="shared" si="8"/>
        <v>0</v>
      </c>
      <c r="L14" s="179" t="e">
        <f t="shared" si="9"/>
        <v>#DIV/0!</v>
      </c>
      <c r="M14" s="173">
        <f t="shared" si="3"/>
        <v>0</v>
      </c>
      <c r="N14" s="173">
        <f t="shared" si="4"/>
        <v>0</v>
      </c>
      <c r="O14" s="174">
        <f t="shared" si="10"/>
        <v>0</v>
      </c>
      <c r="P14" s="180" t="e">
        <f t="shared" si="11"/>
        <v>#DIV/0!</v>
      </c>
      <c r="Q14" s="173">
        <f t="shared" si="5"/>
        <v>0</v>
      </c>
      <c r="R14" s="173">
        <f t="shared" si="6"/>
        <v>0</v>
      </c>
      <c r="S14" s="180" t="e">
        <f t="shared" si="12"/>
        <v>#DIV/0!</v>
      </c>
      <c r="T14" s="174">
        <f t="shared" si="7"/>
        <v>0</v>
      </c>
      <c r="U14" s="175">
        <v>684592.4</v>
      </c>
      <c r="V14" s="175">
        <v>170110.4</v>
      </c>
      <c r="W14" s="175">
        <v>625407.2</v>
      </c>
      <c r="X14" s="175">
        <v>176575</v>
      </c>
      <c r="Y14" s="175">
        <v>652140.6</v>
      </c>
      <c r="Z14" s="175">
        <v>183285</v>
      </c>
    </row>
    <row r="15" spans="1:26" s="176" customFormat="1" ht="18.75" hidden="1">
      <c r="A15" s="144" t="s">
        <v>31</v>
      </c>
      <c r="B15" s="145" t="s">
        <v>32</v>
      </c>
      <c r="C15" s="146">
        <v>14982.3</v>
      </c>
      <c r="D15" s="37">
        <v>0</v>
      </c>
      <c r="E15" s="147">
        <v>0</v>
      </c>
      <c r="F15" s="147">
        <v>0</v>
      </c>
      <c r="G15" s="147"/>
      <c r="H15" s="147"/>
      <c r="I15" s="172">
        <f t="shared" si="1"/>
        <v>0</v>
      </c>
      <c r="J15" s="172">
        <f t="shared" si="2"/>
        <v>0</v>
      </c>
      <c r="K15" s="147">
        <f t="shared" si="8"/>
        <v>0</v>
      </c>
      <c r="L15" s="179" t="e">
        <f t="shared" si="9"/>
        <v>#DIV/0!</v>
      </c>
      <c r="M15" s="173">
        <f t="shared" si="3"/>
        <v>0</v>
      </c>
      <c r="N15" s="173">
        <f t="shared" si="4"/>
        <v>0</v>
      </c>
      <c r="O15" s="174">
        <f t="shared" si="10"/>
        <v>0</v>
      </c>
      <c r="P15" s="180" t="e">
        <f t="shared" si="11"/>
        <v>#DIV/0!</v>
      </c>
      <c r="Q15" s="173">
        <f t="shared" si="5"/>
        <v>0</v>
      </c>
      <c r="R15" s="173">
        <f t="shared" si="6"/>
        <v>0</v>
      </c>
      <c r="S15" s="180" t="e">
        <f t="shared" si="12"/>
        <v>#DIV/0!</v>
      </c>
      <c r="T15" s="174">
        <f t="shared" si="7"/>
        <v>0</v>
      </c>
      <c r="U15" s="175">
        <v>684592.4</v>
      </c>
      <c r="V15" s="175">
        <v>170110.4</v>
      </c>
      <c r="W15" s="175">
        <v>625407.2</v>
      </c>
      <c r="X15" s="175">
        <v>176575</v>
      </c>
      <c r="Y15" s="175">
        <v>652140.6</v>
      </c>
      <c r="Z15" s="175">
        <v>183285</v>
      </c>
    </row>
    <row r="16" spans="1:26" s="176" customFormat="1" ht="18.75" hidden="1">
      <c r="A16" s="144" t="s">
        <v>33</v>
      </c>
      <c r="B16" s="145" t="s">
        <v>34</v>
      </c>
      <c r="C16" s="146"/>
      <c r="D16" s="37"/>
      <c r="E16" s="147"/>
      <c r="F16" s="147"/>
      <c r="G16" s="147"/>
      <c r="H16" s="147"/>
      <c r="I16" s="172">
        <f t="shared" si="1"/>
        <v>0</v>
      </c>
      <c r="J16" s="172">
        <f t="shared" si="2"/>
        <v>0</v>
      </c>
      <c r="K16" s="147">
        <f t="shared" si="8"/>
        <v>0</v>
      </c>
      <c r="L16" s="179" t="e">
        <f t="shared" si="9"/>
        <v>#DIV/0!</v>
      </c>
      <c r="M16" s="173">
        <f t="shared" si="3"/>
        <v>0</v>
      </c>
      <c r="N16" s="173">
        <f t="shared" si="4"/>
        <v>0</v>
      </c>
      <c r="O16" s="174">
        <f t="shared" si="10"/>
        <v>0</v>
      </c>
      <c r="P16" s="180" t="e">
        <f t="shared" si="11"/>
        <v>#DIV/0!</v>
      </c>
      <c r="Q16" s="173">
        <f t="shared" si="5"/>
        <v>0</v>
      </c>
      <c r="R16" s="173">
        <f t="shared" si="6"/>
        <v>0</v>
      </c>
      <c r="S16" s="180" t="e">
        <f t="shared" si="12"/>
        <v>#DIV/0!</v>
      </c>
      <c r="T16" s="174">
        <f t="shared" si="7"/>
        <v>0</v>
      </c>
      <c r="U16" s="175">
        <v>684592.4</v>
      </c>
      <c r="V16" s="175">
        <v>170110.4</v>
      </c>
      <c r="W16" s="175">
        <v>625407.2</v>
      </c>
      <c r="X16" s="175">
        <v>176575</v>
      </c>
      <c r="Y16" s="175">
        <v>652140.6</v>
      </c>
      <c r="Z16" s="175">
        <v>183285</v>
      </c>
    </row>
    <row r="17" spans="1:26" s="176" customFormat="1" ht="18.75">
      <c r="A17" s="144" t="s">
        <v>35</v>
      </c>
      <c r="B17" s="145" t="s">
        <v>36</v>
      </c>
      <c r="C17" s="146">
        <v>1700</v>
      </c>
      <c r="D17" s="37">
        <v>3125</v>
      </c>
      <c r="E17" s="147">
        <f>4000</f>
        <v>4000</v>
      </c>
      <c r="F17" s="170">
        <v>3500</v>
      </c>
      <c r="G17" s="170">
        <v>3633</v>
      </c>
      <c r="H17" s="171">
        <v>3771</v>
      </c>
      <c r="I17" s="172">
        <f t="shared" si="1"/>
        <v>0.005112531193743898</v>
      </c>
      <c r="J17" s="172">
        <f t="shared" si="2"/>
        <v>0.020574873729060656</v>
      </c>
      <c r="K17" s="147">
        <f t="shared" si="8"/>
        <v>-500</v>
      </c>
      <c r="L17" s="179">
        <f t="shared" si="9"/>
        <v>0.875</v>
      </c>
      <c r="M17" s="173">
        <f t="shared" si="3"/>
        <v>0.005809015310345005</v>
      </c>
      <c r="N17" s="173">
        <f t="shared" si="4"/>
        <v>0.020574826560951436</v>
      </c>
      <c r="O17" s="174">
        <f t="shared" si="10"/>
        <v>133</v>
      </c>
      <c r="P17" s="180">
        <f t="shared" si="11"/>
        <v>1.038</v>
      </c>
      <c r="Q17" s="173">
        <f t="shared" si="5"/>
        <v>0.005782495369863493</v>
      </c>
      <c r="R17" s="173">
        <f t="shared" si="6"/>
        <v>0.020574515099435305</v>
      </c>
      <c r="S17" s="180">
        <f t="shared" si="12"/>
        <v>1.0379851362510322</v>
      </c>
      <c r="T17" s="174">
        <f t="shared" si="7"/>
        <v>138</v>
      </c>
      <c r="U17" s="175">
        <v>684592.4</v>
      </c>
      <c r="V17" s="175">
        <v>170110.4</v>
      </c>
      <c r="W17" s="175">
        <v>625407.2</v>
      </c>
      <c r="X17" s="175">
        <v>176575</v>
      </c>
      <c r="Y17" s="175">
        <v>652140.6</v>
      </c>
      <c r="Z17" s="175">
        <v>183285</v>
      </c>
    </row>
    <row r="18" spans="1:26" s="176" customFormat="1" ht="25.5" customHeight="1">
      <c r="A18" s="144" t="s">
        <v>37</v>
      </c>
      <c r="B18" s="145" t="s">
        <v>38</v>
      </c>
      <c r="C18" s="146">
        <v>2500</v>
      </c>
      <c r="D18" s="37">
        <v>3100</v>
      </c>
      <c r="E18" s="147">
        <f>4100</f>
        <v>4100</v>
      </c>
      <c r="F18" s="177">
        <v>4100</v>
      </c>
      <c r="G18" s="170">
        <v>4255.8</v>
      </c>
      <c r="H18" s="178">
        <v>4417</v>
      </c>
      <c r="I18" s="172">
        <f t="shared" si="1"/>
        <v>0.005988965112671423</v>
      </c>
      <c r="J18" s="172">
        <f t="shared" si="2"/>
        <v>0.02410199493975677</v>
      </c>
      <c r="K18" s="147">
        <f t="shared" si="8"/>
        <v>0</v>
      </c>
      <c r="L18" s="179">
        <f t="shared" si="9"/>
        <v>1</v>
      </c>
      <c r="M18" s="173">
        <f t="shared" si="3"/>
        <v>0.0068048465064041485</v>
      </c>
      <c r="N18" s="173">
        <f t="shared" si="4"/>
        <v>0.02410193968568597</v>
      </c>
      <c r="O18" s="174">
        <f t="shared" si="10"/>
        <v>155.80000000000018</v>
      </c>
      <c r="P18" s="180">
        <f t="shared" si="11"/>
        <v>1.038</v>
      </c>
      <c r="Q18" s="173">
        <f t="shared" si="5"/>
        <v>0.006773079302224091</v>
      </c>
      <c r="R18" s="173">
        <f t="shared" si="6"/>
        <v>0.024099080666721225</v>
      </c>
      <c r="S18" s="180">
        <f t="shared" si="12"/>
        <v>1.0378777198176605</v>
      </c>
      <c r="T18" s="174">
        <f t="shared" si="7"/>
        <v>161.19999999999982</v>
      </c>
      <c r="U18" s="175">
        <v>684592.4</v>
      </c>
      <c r="V18" s="175">
        <v>170110.4</v>
      </c>
      <c r="W18" s="175">
        <v>625407.2</v>
      </c>
      <c r="X18" s="175">
        <v>176575</v>
      </c>
      <c r="Y18" s="175">
        <v>652140.6</v>
      </c>
      <c r="Z18" s="175">
        <v>183285</v>
      </c>
    </row>
    <row r="19" spans="1:26" s="176" customFormat="1" ht="25.5" customHeight="1">
      <c r="A19" s="144" t="s">
        <v>39</v>
      </c>
      <c r="B19" s="145" t="s">
        <v>40</v>
      </c>
      <c r="C19" s="146">
        <v>200</v>
      </c>
      <c r="D19" s="37">
        <v>200</v>
      </c>
      <c r="E19" s="147">
        <v>500</v>
      </c>
      <c r="F19" s="147">
        <v>400</v>
      </c>
      <c r="G19" s="147">
        <v>415.2</v>
      </c>
      <c r="H19" s="147">
        <v>431</v>
      </c>
      <c r="I19" s="172">
        <f t="shared" si="1"/>
        <v>0.0005842892792850169</v>
      </c>
      <c r="J19" s="172">
        <f t="shared" si="2"/>
        <v>0.0023514141404640753</v>
      </c>
      <c r="K19" s="147">
        <f t="shared" si="8"/>
        <v>-100</v>
      </c>
      <c r="L19" s="179">
        <f t="shared" si="9"/>
        <v>0.8</v>
      </c>
      <c r="M19" s="173">
        <f t="shared" si="3"/>
        <v>0.0006638874640394291</v>
      </c>
      <c r="N19" s="173">
        <f t="shared" si="4"/>
        <v>0.0023514087498230215</v>
      </c>
      <c r="O19" s="174">
        <f t="shared" si="10"/>
        <v>15.199999999999989</v>
      </c>
      <c r="P19" s="180">
        <f t="shared" si="11"/>
        <v>1.038</v>
      </c>
      <c r="Q19" s="173">
        <f t="shared" si="5"/>
        <v>0.0006609004254603992</v>
      </c>
      <c r="R19" s="173">
        <f t="shared" si="6"/>
        <v>0.002351529039474043</v>
      </c>
      <c r="S19" s="180">
        <f t="shared" si="12"/>
        <v>1.038053949903661</v>
      </c>
      <c r="T19" s="174">
        <f t="shared" si="7"/>
        <v>15.800000000000011</v>
      </c>
      <c r="U19" s="175">
        <v>684592.4</v>
      </c>
      <c r="V19" s="175">
        <v>170110.4</v>
      </c>
      <c r="W19" s="175">
        <v>625407.2</v>
      </c>
      <c r="X19" s="175">
        <v>176575</v>
      </c>
      <c r="Y19" s="175">
        <v>652140.6</v>
      </c>
      <c r="Z19" s="175">
        <v>183285</v>
      </c>
    </row>
    <row r="20" spans="1:26" s="176" customFormat="1" ht="18.75">
      <c r="A20" s="144" t="s">
        <v>41</v>
      </c>
      <c r="B20" s="145" t="s">
        <v>42</v>
      </c>
      <c r="C20" s="146">
        <v>431.6</v>
      </c>
      <c r="D20" s="37">
        <v>1139.9</v>
      </c>
      <c r="E20" s="147">
        <f>716.7</f>
        <v>716.7</v>
      </c>
      <c r="F20" s="170">
        <v>872</v>
      </c>
      <c r="G20" s="170">
        <v>905</v>
      </c>
      <c r="H20" s="171">
        <v>940</v>
      </c>
      <c r="I20" s="172">
        <f t="shared" si="1"/>
        <v>0.0012737506288413368</v>
      </c>
      <c r="J20" s="172">
        <f t="shared" si="2"/>
        <v>0.005126082826211684</v>
      </c>
      <c r="K20" s="147">
        <f t="shared" si="8"/>
        <v>155.29999999999995</v>
      </c>
      <c r="L20" s="179">
        <f t="shared" si="9"/>
        <v>1.2166875959257708</v>
      </c>
      <c r="M20" s="173">
        <f t="shared" si="3"/>
        <v>0.001447057213284401</v>
      </c>
      <c r="N20" s="173">
        <f t="shared" si="4"/>
        <v>0.005125300863655671</v>
      </c>
      <c r="O20" s="174">
        <f t="shared" si="10"/>
        <v>33</v>
      </c>
      <c r="P20" s="180">
        <f t="shared" si="11"/>
        <v>1.0378440366972477</v>
      </c>
      <c r="Q20" s="173">
        <f t="shared" si="5"/>
        <v>0.0014414069604008707</v>
      </c>
      <c r="R20" s="173">
        <f t="shared" si="6"/>
        <v>0.005128624819270535</v>
      </c>
      <c r="S20" s="180">
        <f t="shared" si="12"/>
        <v>1.0386740331491713</v>
      </c>
      <c r="T20" s="174">
        <f t="shared" si="7"/>
        <v>35</v>
      </c>
      <c r="U20" s="175">
        <v>684592.4</v>
      </c>
      <c r="V20" s="175">
        <v>170110.4</v>
      </c>
      <c r="W20" s="175">
        <v>625407.2</v>
      </c>
      <c r="X20" s="175">
        <v>176575</v>
      </c>
      <c r="Y20" s="175">
        <v>652140.6</v>
      </c>
      <c r="Z20" s="175">
        <v>183285</v>
      </c>
    </row>
    <row r="21" spans="1:26" s="176" customFormat="1" ht="18.75">
      <c r="A21" s="144" t="s">
        <v>43</v>
      </c>
      <c r="B21" s="145" t="s">
        <v>44</v>
      </c>
      <c r="C21" s="146">
        <v>3701.3</v>
      </c>
      <c r="D21" s="37">
        <v>0</v>
      </c>
      <c r="E21" s="147">
        <v>0</v>
      </c>
      <c r="F21" s="147">
        <v>0</v>
      </c>
      <c r="G21" s="147"/>
      <c r="H21" s="147"/>
      <c r="I21" s="172">
        <f t="shared" si="1"/>
        <v>0</v>
      </c>
      <c r="J21" s="172">
        <f t="shared" si="2"/>
        <v>0</v>
      </c>
      <c r="K21" s="147">
        <f t="shared" si="8"/>
        <v>0</v>
      </c>
      <c r="L21" s="179" t="e">
        <f t="shared" si="9"/>
        <v>#DIV/0!</v>
      </c>
      <c r="M21" s="173">
        <f t="shared" si="3"/>
        <v>0</v>
      </c>
      <c r="N21" s="173">
        <f t="shared" si="4"/>
        <v>0</v>
      </c>
      <c r="O21" s="174">
        <f t="shared" si="10"/>
        <v>0</v>
      </c>
      <c r="P21" s="180" t="e">
        <f t="shared" si="11"/>
        <v>#DIV/0!</v>
      </c>
      <c r="Q21" s="173">
        <f t="shared" si="5"/>
        <v>0</v>
      </c>
      <c r="R21" s="173">
        <f t="shared" si="6"/>
        <v>0</v>
      </c>
      <c r="S21" s="180" t="e">
        <f t="shared" si="12"/>
        <v>#DIV/0!</v>
      </c>
      <c r="T21" s="174">
        <f t="shared" si="7"/>
        <v>0</v>
      </c>
      <c r="U21" s="175">
        <v>684592.4</v>
      </c>
      <c r="V21" s="175">
        <v>170110.4</v>
      </c>
      <c r="W21" s="175">
        <v>625407.2</v>
      </c>
      <c r="X21" s="175">
        <v>176575</v>
      </c>
      <c r="Y21" s="175">
        <v>652140.6</v>
      </c>
      <c r="Z21" s="175">
        <v>183285</v>
      </c>
    </row>
    <row r="22" spans="1:26" s="176" customFormat="1" ht="18.75">
      <c r="A22" s="144" t="s">
        <v>45</v>
      </c>
      <c r="B22" s="145" t="s">
        <v>46</v>
      </c>
      <c r="C22" s="146">
        <v>150</v>
      </c>
      <c r="D22" s="37">
        <v>100</v>
      </c>
      <c r="E22" s="147">
        <f>200</f>
        <v>200</v>
      </c>
      <c r="F22" s="170">
        <v>700</v>
      </c>
      <c r="G22" s="170">
        <v>727</v>
      </c>
      <c r="H22" s="171">
        <v>755</v>
      </c>
      <c r="I22" s="172">
        <f t="shared" si="1"/>
        <v>0.0010225062387487795</v>
      </c>
      <c r="J22" s="172">
        <f t="shared" si="2"/>
        <v>0.004114974745812131</v>
      </c>
      <c r="K22" s="147">
        <f t="shared" si="8"/>
        <v>500</v>
      </c>
      <c r="L22" s="179">
        <f t="shared" si="9"/>
        <v>3.5</v>
      </c>
      <c r="M22" s="173">
        <f t="shared" si="3"/>
        <v>0.0011624426453676901</v>
      </c>
      <c r="N22" s="173">
        <f t="shared" si="4"/>
        <v>0.0041172306385388645</v>
      </c>
      <c r="O22" s="174">
        <f t="shared" si="10"/>
        <v>27</v>
      </c>
      <c r="P22" s="180">
        <f t="shared" si="11"/>
        <v>1.0385714285714285</v>
      </c>
      <c r="Q22" s="173">
        <f t="shared" si="5"/>
        <v>0.0011577258033006993</v>
      </c>
      <c r="R22" s="173">
        <f t="shared" si="6"/>
        <v>0.004119267806967291</v>
      </c>
      <c r="S22" s="180">
        <f t="shared" si="12"/>
        <v>1.0385144429160935</v>
      </c>
      <c r="T22" s="174">
        <f t="shared" si="7"/>
        <v>28</v>
      </c>
      <c r="U22" s="175">
        <v>684592.4</v>
      </c>
      <c r="V22" s="175">
        <v>170110.4</v>
      </c>
      <c r="W22" s="175">
        <v>625407.2</v>
      </c>
      <c r="X22" s="175">
        <v>176575</v>
      </c>
      <c r="Y22" s="175">
        <v>652140.6</v>
      </c>
      <c r="Z22" s="175">
        <v>183285</v>
      </c>
    </row>
    <row r="23" spans="1:26" s="176" customFormat="1" ht="18.75">
      <c r="A23" s="144" t="s">
        <v>47</v>
      </c>
      <c r="B23" s="145" t="s">
        <v>208</v>
      </c>
      <c r="C23" s="146">
        <v>1947.7</v>
      </c>
      <c r="D23" s="37">
        <v>1885</v>
      </c>
      <c r="E23" s="147">
        <f>677.5+743</f>
        <v>1420.5</v>
      </c>
      <c r="F23" s="170">
        <v>2422</v>
      </c>
      <c r="G23" s="170">
        <v>2514</v>
      </c>
      <c r="H23" s="171">
        <v>2609</v>
      </c>
      <c r="I23" s="172">
        <f t="shared" si="1"/>
        <v>0.003537871586070777</v>
      </c>
      <c r="J23" s="172">
        <f t="shared" si="2"/>
        <v>0.014237812620509976</v>
      </c>
      <c r="K23" s="147">
        <f t="shared" si="8"/>
        <v>1001.5</v>
      </c>
      <c r="L23" s="179">
        <f t="shared" si="9"/>
        <v>1.7050334389299542</v>
      </c>
      <c r="M23" s="173">
        <f t="shared" si="3"/>
        <v>0.004019781032261861</v>
      </c>
      <c r="N23" s="173">
        <f t="shared" si="4"/>
        <v>0.014237576100807023</v>
      </c>
      <c r="O23" s="174">
        <f t="shared" si="10"/>
        <v>92</v>
      </c>
      <c r="P23" s="180">
        <f t="shared" si="11"/>
        <v>1.0379851362510322</v>
      </c>
      <c r="Q23" s="173">
        <f t="shared" si="5"/>
        <v>0.004000671020942416</v>
      </c>
      <c r="R23" s="173">
        <f t="shared" si="6"/>
        <v>0.014234661865400879</v>
      </c>
      <c r="S23" s="180">
        <f t="shared" si="12"/>
        <v>1.037788385043755</v>
      </c>
      <c r="T23" s="174">
        <f t="shared" si="7"/>
        <v>95</v>
      </c>
      <c r="U23" s="175">
        <v>684592.4</v>
      </c>
      <c r="V23" s="175">
        <v>170110.4</v>
      </c>
      <c r="W23" s="175">
        <v>625407.2</v>
      </c>
      <c r="X23" s="175">
        <v>176575</v>
      </c>
      <c r="Y23" s="175">
        <v>652140.6</v>
      </c>
      <c r="Z23" s="175">
        <v>183285</v>
      </c>
    </row>
    <row r="24" spans="1:26" s="183" customFormat="1" ht="27" customHeight="1" hidden="1">
      <c r="A24" s="34" t="s">
        <v>48</v>
      </c>
      <c r="B24" s="35" t="s">
        <v>49</v>
      </c>
      <c r="C24" s="33">
        <v>603</v>
      </c>
      <c r="D24" s="37">
        <v>710</v>
      </c>
      <c r="E24" s="143">
        <v>866.5</v>
      </c>
      <c r="F24" s="143">
        <v>866.5</v>
      </c>
      <c r="G24" s="143"/>
      <c r="H24" s="143"/>
      <c r="I24" s="179">
        <f t="shared" si="1"/>
        <v>0.0012657166512511679</v>
      </c>
      <c r="J24" s="143">
        <f>F24/F9*100</f>
        <v>0.5093750881780302</v>
      </c>
      <c r="K24" s="143">
        <f t="shared" si="8"/>
        <v>0</v>
      </c>
      <c r="L24" s="165">
        <f t="shared" si="9"/>
        <v>1</v>
      </c>
      <c r="M24" s="180">
        <f t="shared" si="3"/>
        <v>0</v>
      </c>
      <c r="N24" s="181"/>
      <c r="O24" s="182">
        <f t="shared" si="10"/>
        <v>-866.5</v>
      </c>
      <c r="P24" s="166">
        <f t="shared" si="11"/>
        <v>0</v>
      </c>
      <c r="Q24" s="180">
        <f t="shared" si="5"/>
        <v>0</v>
      </c>
      <c r="R24" s="180">
        <f t="shared" si="6"/>
        <v>0</v>
      </c>
      <c r="S24" s="166" t="e">
        <f t="shared" si="12"/>
        <v>#DIV/0!</v>
      </c>
      <c r="T24" s="182">
        <f t="shared" si="7"/>
        <v>0</v>
      </c>
      <c r="U24" s="159">
        <v>684592.4</v>
      </c>
      <c r="V24" s="159">
        <v>170110.4</v>
      </c>
      <c r="W24" s="159">
        <v>625407.2</v>
      </c>
      <c r="X24" s="159">
        <v>176575</v>
      </c>
      <c r="Y24" s="159">
        <v>652140.6</v>
      </c>
      <c r="Z24" s="159">
        <v>183285</v>
      </c>
    </row>
    <row r="25" spans="1:26" s="169" customFormat="1" ht="33" customHeight="1">
      <c r="A25" s="110" t="s">
        <v>50</v>
      </c>
      <c r="B25" s="111" t="s">
        <v>51</v>
      </c>
      <c r="C25" s="112">
        <f aca="true" t="shared" si="13" ref="C25:H25">C26+C28+C27+C29</f>
        <v>484089.5</v>
      </c>
      <c r="D25" s="113">
        <f t="shared" si="13"/>
        <v>470182.5</v>
      </c>
      <c r="E25" s="164">
        <f t="shared" si="13"/>
        <v>474246.6</v>
      </c>
      <c r="F25" s="164">
        <f t="shared" si="13"/>
        <v>514482</v>
      </c>
      <c r="G25" s="164">
        <f t="shared" si="13"/>
        <v>448832.19999999995</v>
      </c>
      <c r="H25" s="164">
        <f t="shared" si="13"/>
        <v>468855.6</v>
      </c>
      <c r="I25" s="165">
        <f t="shared" si="1"/>
        <v>0.7515157924627851</v>
      </c>
      <c r="J25" s="164" t="s">
        <v>52</v>
      </c>
      <c r="K25" s="164">
        <f t="shared" si="8"/>
        <v>40235.40000000002</v>
      </c>
      <c r="L25" s="165">
        <f t="shared" si="9"/>
        <v>1.084840671498752</v>
      </c>
      <c r="M25" s="166">
        <f t="shared" si="3"/>
        <v>0.7176639475848695</v>
      </c>
      <c r="N25" s="164" t="s">
        <v>52</v>
      </c>
      <c r="O25" s="167">
        <f t="shared" si="10"/>
        <v>-65649.80000000005</v>
      </c>
      <c r="P25" s="166">
        <f t="shared" si="11"/>
        <v>0.8723963131849121</v>
      </c>
      <c r="Q25" s="166">
        <f t="shared" si="5"/>
        <v>0.7189486438967302</v>
      </c>
      <c r="R25" s="164" t="s">
        <v>52</v>
      </c>
      <c r="S25" s="166">
        <f t="shared" si="12"/>
        <v>1.0446122181073463</v>
      </c>
      <c r="T25" s="167">
        <f t="shared" si="7"/>
        <v>20023.400000000023</v>
      </c>
      <c r="U25" s="168">
        <v>684592.4</v>
      </c>
      <c r="V25" s="168">
        <v>170110.4</v>
      </c>
      <c r="W25" s="168">
        <v>625407.2</v>
      </c>
      <c r="X25" s="168">
        <v>176575</v>
      </c>
      <c r="Y25" s="168">
        <v>652140.6</v>
      </c>
      <c r="Z25" s="168">
        <v>183285</v>
      </c>
    </row>
    <row r="26" spans="1:26" s="36" customFormat="1" ht="27.75" customHeight="1">
      <c r="A26" s="31" t="s">
        <v>217</v>
      </c>
      <c r="B26" s="32" t="s">
        <v>15</v>
      </c>
      <c r="C26" s="33">
        <v>141911.7</v>
      </c>
      <c r="D26" s="37">
        <v>82161.1</v>
      </c>
      <c r="E26" s="143">
        <f>116001.5</f>
        <v>116001.5</v>
      </c>
      <c r="F26" s="143">
        <v>138965</v>
      </c>
      <c r="G26" s="143">
        <v>103941.9</v>
      </c>
      <c r="H26" s="143">
        <v>111425.8</v>
      </c>
      <c r="I26" s="179">
        <f t="shared" si="1"/>
        <v>0.20298939923960593</v>
      </c>
      <c r="J26" s="143" t="s">
        <v>52</v>
      </c>
      <c r="K26" s="143">
        <f t="shared" si="8"/>
        <v>22963.5</v>
      </c>
      <c r="L26" s="179">
        <f t="shared" si="9"/>
        <v>1.19795864708646</v>
      </c>
      <c r="M26" s="180">
        <f t="shared" si="3"/>
        <v>0.16619875818506727</v>
      </c>
      <c r="N26" s="143" t="s">
        <v>52</v>
      </c>
      <c r="O26" s="182">
        <f t="shared" si="10"/>
        <v>-35023.100000000006</v>
      </c>
      <c r="P26" s="180">
        <f t="shared" si="11"/>
        <v>0.7479717914582809</v>
      </c>
      <c r="Q26" s="180">
        <f t="shared" si="5"/>
        <v>0.1708616209449312</v>
      </c>
      <c r="R26" s="143" t="s">
        <v>52</v>
      </c>
      <c r="S26" s="180">
        <f t="shared" si="12"/>
        <v>1.072000800447173</v>
      </c>
      <c r="T26" s="182">
        <f t="shared" si="7"/>
        <v>7483.900000000009</v>
      </c>
      <c r="U26" s="159">
        <v>684592.4</v>
      </c>
      <c r="V26" s="159">
        <v>170110.4</v>
      </c>
      <c r="W26" s="159">
        <v>625407.2</v>
      </c>
      <c r="X26" s="159">
        <v>176575</v>
      </c>
      <c r="Y26" s="159">
        <v>652140.6</v>
      </c>
      <c r="Z26" s="159">
        <v>183285</v>
      </c>
    </row>
    <row r="27" spans="1:26" s="36" customFormat="1" ht="35.25" customHeight="1">
      <c r="A27" s="31" t="s">
        <v>218</v>
      </c>
      <c r="B27" s="32" t="s">
        <v>53</v>
      </c>
      <c r="C27" s="33">
        <v>43538.9</v>
      </c>
      <c r="D27" s="37">
        <v>17264</v>
      </c>
      <c r="E27" s="143">
        <f>0</f>
        <v>0</v>
      </c>
      <c r="F27" s="143">
        <v>25469</v>
      </c>
      <c r="G27" s="143">
        <v>0</v>
      </c>
      <c r="H27" s="143">
        <v>0</v>
      </c>
      <c r="I27" s="179">
        <f t="shared" si="1"/>
        <v>0.037203159135275235</v>
      </c>
      <c r="J27" s="143" t="s">
        <v>52</v>
      </c>
      <c r="K27" s="143">
        <f t="shared" si="8"/>
        <v>25469</v>
      </c>
      <c r="L27" s="179" t="e">
        <f t="shared" si="9"/>
        <v>#DIV/0!</v>
      </c>
      <c r="M27" s="180">
        <f t="shared" si="3"/>
        <v>0</v>
      </c>
      <c r="N27" s="143" t="s">
        <v>52</v>
      </c>
      <c r="O27" s="182">
        <f t="shared" si="10"/>
        <v>-25469</v>
      </c>
      <c r="P27" s="180">
        <f t="shared" si="11"/>
        <v>0</v>
      </c>
      <c r="Q27" s="180">
        <f t="shared" si="5"/>
        <v>0</v>
      </c>
      <c r="R27" s="143" t="s">
        <v>52</v>
      </c>
      <c r="S27" s="180" t="e">
        <f t="shared" si="12"/>
        <v>#DIV/0!</v>
      </c>
      <c r="T27" s="182">
        <f t="shared" si="7"/>
        <v>0</v>
      </c>
      <c r="U27" s="159">
        <v>684592.4</v>
      </c>
      <c r="V27" s="159">
        <v>170110.4</v>
      </c>
      <c r="W27" s="159">
        <v>625407.2</v>
      </c>
      <c r="X27" s="159">
        <v>176575</v>
      </c>
      <c r="Y27" s="159">
        <v>652140.6</v>
      </c>
      <c r="Z27" s="159">
        <v>183285</v>
      </c>
    </row>
    <row r="28" spans="1:26" s="36" customFormat="1" ht="26.25" customHeight="1">
      <c r="A28" s="31" t="s">
        <v>219</v>
      </c>
      <c r="B28" s="32" t="s">
        <v>54</v>
      </c>
      <c r="C28" s="33">
        <v>268830.8</v>
      </c>
      <c r="D28" s="37">
        <v>362479.4</v>
      </c>
      <c r="E28" s="143">
        <f>351876.3</f>
        <v>351876.3</v>
      </c>
      <c r="F28" s="143">
        <v>343157</v>
      </c>
      <c r="G28" s="143">
        <v>337999.3</v>
      </c>
      <c r="H28" s="143">
        <v>350538.8</v>
      </c>
      <c r="I28" s="179">
        <f t="shared" si="1"/>
        <v>0.5012573905290213</v>
      </c>
      <c r="J28" s="143" t="s">
        <v>52</v>
      </c>
      <c r="K28" s="143">
        <f t="shared" si="8"/>
        <v>-8719.299999999988</v>
      </c>
      <c r="L28" s="179">
        <f t="shared" si="9"/>
        <v>0.9752205533592345</v>
      </c>
      <c r="M28" s="180">
        <f t="shared" si="3"/>
        <v>0.5404467681216334</v>
      </c>
      <c r="N28" s="143" t="s">
        <v>52</v>
      </c>
      <c r="O28" s="182">
        <f t="shared" si="10"/>
        <v>-5157.700000000012</v>
      </c>
      <c r="P28" s="180">
        <f t="shared" si="11"/>
        <v>0.9849698534490043</v>
      </c>
      <c r="Q28" s="180">
        <f t="shared" si="5"/>
        <v>0.5375202832027327</v>
      </c>
      <c r="R28" s="143" t="s">
        <v>52</v>
      </c>
      <c r="S28" s="180">
        <f t="shared" si="12"/>
        <v>1.037099189258676</v>
      </c>
      <c r="T28" s="182">
        <f t="shared" si="7"/>
        <v>12539.5</v>
      </c>
      <c r="U28" s="159">
        <v>684592.4</v>
      </c>
      <c r="V28" s="159">
        <v>170110.4</v>
      </c>
      <c r="W28" s="159">
        <v>625407.2</v>
      </c>
      <c r="X28" s="159">
        <v>176575</v>
      </c>
      <c r="Y28" s="159">
        <v>652140.6</v>
      </c>
      <c r="Z28" s="159">
        <v>183285</v>
      </c>
    </row>
    <row r="29" spans="1:26" s="36" customFormat="1" ht="52.5" customHeight="1">
      <c r="A29" s="31" t="s">
        <v>220</v>
      </c>
      <c r="B29" s="32" t="s">
        <v>7</v>
      </c>
      <c r="C29" s="33">
        <f>29808.1</f>
        <v>29808.1</v>
      </c>
      <c r="D29" s="37">
        <f>8258.3+19.7</f>
        <v>8278</v>
      </c>
      <c r="E29" s="143">
        <f>6368.8</f>
        <v>6368.8</v>
      </c>
      <c r="F29" s="143">
        <v>6891</v>
      </c>
      <c r="G29" s="143">
        <v>6891</v>
      </c>
      <c r="H29" s="143">
        <v>6891</v>
      </c>
      <c r="I29" s="179">
        <f t="shared" si="1"/>
        <v>0.010065843558882629</v>
      </c>
      <c r="J29" s="143" t="s">
        <v>52</v>
      </c>
      <c r="K29" s="143">
        <f t="shared" si="8"/>
        <v>522.1999999999998</v>
      </c>
      <c r="L29" s="179">
        <f t="shared" si="9"/>
        <v>1.0819934681572667</v>
      </c>
      <c r="M29" s="180">
        <f t="shared" si="3"/>
        <v>0.011018421278168848</v>
      </c>
      <c r="N29" s="143" t="s">
        <v>52</v>
      </c>
      <c r="O29" s="182">
        <f t="shared" si="10"/>
        <v>0</v>
      </c>
      <c r="P29" s="180">
        <f t="shared" si="11"/>
        <v>1</v>
      </c>
      <c r="Q29" s="180">
        <f t="shared" si="5"/>
        <v>0.010566739749066382</v>
      </c>
      <c r="R29" s="143" t="s">
        <v>52</v>
      </c>
      <c r="S29" s="180">
        <f t="shared" si="12"/>
        <v>1</v>
      </c>
      <c r="T29" s="182">
        <f t="shared" si="7"/>
        <v>0</v>
      </c>
      <c r="U29" s="159">
        <v>684592.4</v>
      </c>
      <c r="V29" s="159">
        <v>170110.4</v>
      </c>
      <c r="W29" s="159">
        <v>625407.2</v>
      </c>
      <c r="X29" s="159">
        <v>176575</v>
      </c>
      <c r="Y29" s="159">
        <v>652140.6</v>
      </c>
      <c r="Z29" s="159">
        <v>183285</v>
      </c>
    </row>
    <row r="30" spans="1:26" s="36" customFormat="1" ht="37.5">
      <c r="A30" s="31"/>
      <c r="B30" s="32" t="s">
        <v>55</v>
      </c>
      <c r="C30" s="33">
        <f>22656.9</f>
        <v>22656.9</v>
      </c>
      <c r="D30" s="37">
        <f>8258.3</f>
        <v>8258.3</v>
      </c>
      <c r="E30" s="143">
        <f>6368.8</f>
        <v>6368.8</v>
      </c>
      <c r="F30" s="143">
        <v>6891</v>
      </c>
      <c r="G30" s="143">
        <v>6891</v>
      </c>
      <c r="H30" s="143">
        <v>6891</v>
      </c>
      <c r="I30" s="179">
        <f t="shared" si="1"/>
        <v>0.010065843558882629</v>
      </c>
      <c r="J30" s="143" t="s">
        <v>52</v>
      </c>
      <c r="K30" s="143">
        <f t="shared" si="8"/>
        <v>522.1999999999998</v>
      </c>
      <c r="L30" s="179">
        <f t="shared" si="9"/>
        <v>1.0819934681572667</v>
      </c>
      <c r="M30" s="180">
        <f t="shared" si="3"/>
        <v>0.011018421278168848</v>
      </c>
      <c r="N30" s="143" t="s">
        <v>52</v>
      </c>
      <c r="O30" s="182">
        <f t="shared" si="10"/>
        <v>0</v>
      </c>
      <c r="P30" s="180">
        <f t="shared" si="11"/>
        <v>1</v>
      </c>
      <c r="Q30" s="180">
        <f t="shared" si="5"/>
        <v>0.010566739749066382</v>
      </c>
      <c r="R30" s="143" t="s">
        <v>52</v>
      </c>
      <c r="S30" s="180">
        <f t="shared" si="12"/>
        <v>1</v>
      </c>
      <c r="T30" s="182">
        <f t="shared" si="7"/>
        <v>0</v>
      </c>
      <c r="U30" s="159">
        <v>684592.4</v>
      </c>
      <c r="V30" s="159">
        <v>170110.4</v>
      </c>
      <c r="W30" s="159">
        <v>625407.2</v>
      </c>
      <c r="X30" s="159">
        <v>176575</v>
      </c>
      <c r="Y30" s="159">
        <v>652140.6</v>
      </c>
      <c r="Z30" s="159">
        <v>183285</v>
      </c>
    </row>
    <row r="31" spans="1:26" s="169" customFormat="1" ht="28.5" customHeight="1">
      <c r="A31" s="110"/>
      <c r="B31" s="111" t="s">
        <v>56</v>
      </c>
      <c r="C31" s="112">
        <f aca="true" t="shared" si="14" ref="C31:H31">C9+C25</f>
        <v>635112.4</v>
      </c>
      <c r="D31" s="113">
        <f t="shared" si="14"/>
        <v>610709.8</v>
      </c>
      <c r="E31" s="164">
        <f t="shared" si="14"/>
        <v>642417.1</v>
      </c>
      <c r="F31" s="164">
        <f t="shared" si="14"/>
        <v>684592.4</v>
      </c>
      <c r="G31" s="164">
        <f t="shared" si="14"/>
        <v>625407.2</v>
      </c>
      <c r="H31" s="164">
        <f t="shared" si="14"/>
        <v>652140.6</v>
      </c>
      <c r="I31" s="165">
        <f t="shared" si="1"/>
        <v>1</v>
      </c>
      <c r="J31" s="164" t="s">
        <v>52</v>
      </c>
      <c r="K31" s="164">
        <f t="shared" si="8"/>
        <v>42175.30000000005</v>
      </c>
      <c r="L31" s="165">
        <f t="shared" si="9"/>
        <v>1.0656509610345055</v>
      </c>
      <c r="M31" s="166">
        <f t="shared" si="3"/>
        <v>1</v>
      </c>
      <c r="N31" s="164" t="s">
        <v>52</v>
      </c>
      <c r="O31" s="167">
        <f t="shared" si="10"/>
        <v>-59185.20000000007</v>
      </c>
      <c r="P31" s="166">
        <f t="shared" si="11"/>
        <v>0.9135468053691509</v>
      </c>
      <c r="Q31" s="166">
        <f t="shared" si="5"/>
        <v>1</v>
      </c>
      <c r="R31" s="164" t="s">
        <v>52</v>
      </c>
      <c r="S31" s="166">
        <f t="shared" si="12"/>
        <v>1.0427455903929472</v>
      </c>
      <c r="T31" s="167">
        <f t="shared" si="7"/>
        <v>26733.400000000023</v>
      </c>
      <c r="U31" s="168">
        <v>684592.4</v>
      </c>
      <c r="V31" s="168">
        <v>170110.4</v>
      </c>
      <c r="W31" s="168">
        <v>625407.2</v>
      </c>
      <c r="X31" s="168">
        <v>176575</v>
      </c>
      <c r="Y31" s="168">
        <v>652140.6</v>
      </c>
      <c r="Z31" s="168">
        <v>183285</v>
      </c>
    </row>
    <row r="32" spans="1:26" s="36" customFormat="1" ht="26.25" customHeight="1" hidden="1">
      <c r="A32" s="32"/>
      <c r="B32" s="32" t="s">
        <v>57</v>
      </c>
      <c r="C32" s="33">
        <f>C9</f>
        <v>151022.9</v>
      </c>
      <c r="D32" s="37">
        <f>D9</f>
        <v>140527.3</v>
      </c>
      <c r="E32" s="143">
        <f>E9</f>
        <v>168170.5</v>
      </c>
      <c r="F32" s="143">
        <f>F9</f>
        <v>170110.4</v>
      </c>
      <c r="G32" s="143"/>
      <c r="H32" s="143"/>
      <c r="I32" s="179">
        <f t="shared" si="1"/>
        <v>0.24848420753721484</v>
      </c>
      <c r="J32" s="143" t="s">
        <v>52</v>
      </c>
      <c r="K32" s="143">
        <f t="shared" si="8"/>
        <v>1939.8999999999942</v>
      </c>
      <c r="L32" s="165">
        <f t="shared" si="9"/>
        <v>1.0115353168361871</v>
      </c>
      <c r="M32" s="180">
        <f t="shared" si="3"/>
        <v>0</v>
      </c>
      <c r="N32" s="143" t="s">
        <v>52</v>
      </c>
      <c r="O32" s="182">
        <f t="shared" si="10"/>
        <v>-170110.4</v>
      </c>
      <c r="P32" s="166">
        <f t="shared" si="11"/>
        <v>0</v>
      </c>
      <c r="Q32" s="180">
        <f t="shared" si="5"/>
        <v>0</v>
      </c>
      <c r="R32" s="143" t="s">
        <v>52</v>
      </c>
      <c r="S32" s="166" t="e">
        <f t="shared" si="12"/>
        <v>#DIV/0!</v>
      </c>
      <c r="T32" s="182">
        <f t="shared" si="7"/>
        <v>0</v>
      </c>
      <c r="U32" s="159">
        <v>684592.4</v>
      </c>
      <c r="V32" s="159">
        <v>170110.4</v>
      </c>
      <c r="W32" s="159">
        <v>625407.2</v>
      </c>
      <c r="X32" s="159">
        <v>176575</v>
      </c>
      <c r="Y32" s="159">
        <v>652140.6</v>
      </c>
      <c r="Z32" s="159">
        <v>183285</v>
      </c>
    </row>
    <row r="33" spans="1:26" s="36" customFormat="1" ht="29.25" customHeight="1">
      <c r="A33" s="32"/>
      <c r="B33" s="32" t="s">
        <v>58</v>
      </c>
      <c r="C33" s="33">
        <f>C30</f>
        <v>22656.9</v>
      </c>
      <c r="D33" s="37">
        <f>D30</f>
        <v>8258.3</v>
      </c>
      <c r="E33" s="143">
        <f>E30</f>
        <v>6368.8</v>
      </c>
      <c r="F33" s="143">
        <f>F30</f>
        <v>6891</v>
      </c>
      <c r="G33" s="143"/>
      <c r="H33" s="143"/>
      <c r="I33" s="179">
        <f t="shared" si="1"/>
        <v>0.010065843558882629</v>
      </c>
      <c r="J33" s="143" t="s">
        <v>52</v>
      </c>
      <c r="K33" s="143">
        <f t="shared" si="8"/>
        <v>522.1999999999998</v>
      </c>
      <c r="L33" s="179">
        <f t="shared" si="9"/>
        <v>1.0819934681572667</v>
      </c>
      <c r="M33" s="180">
        <f t="shared" si="3"/>
        <v>0</v>
      </c>
      <c r="N33" s="143" t="s">
        <v>52</v>
      </c>
      <c r="O33" s="182">
        <f t="shared" si="10"/>
        <v>-6891</v>
      </c>
      <c r="P33" s="180">
        <f t="shared" si="11"/>
        <v>0</v>
      </c>
      <c r="Q33" s="180">
        <f t="shared" si="5"/>
        <v>0</v>
      </c>
      <c r="R33" s="143" t="s">
        <v>52</v>
      </c>
      <c r="S33" s="180" t="e">
        <f t="shared" si="12"/>
        <v>#DIV/0!</v>
      </c>
      <c r="T33" s="182">
        <f t="shared" si="7"/>
        <v>0</v>
      </c>
      <c r="U33" s="159">
        <v>684592.4</v>
      </c>
      <c r="V33" s="159">
        <v>170110.4</v>
      </c>
      <c r="W33" s="159">
        <v>625407.2</v>
      </c>
      <c r="X33" s="159">
        <v>176575</v>
      </c>
      <c r="Y33" s="159">
        <v>652140.6</v>
      </c>
      <c r="Z33" s="159">
        <v>183285</v>
      </c>
    </row>
    <row r="34" spans="1:26" s="36" customFormat="1" ht="19.5">
      <c r="A34" s="32"/>
      <c r="B34" s="32" t="s">
        <v>59</v>
      </c>
      <c r="C34" s="33">
        <f aca="true" t="shared" si="15" ref="C34:H34">C31-C33</f>
        <v>612455.5</v>
      </c>
      <c r="D34" s="37">
        <f t="shared" si="15"/>
        <v>602451.5</v>
      </c>
      <c r="E34" s="143">
        <f t="shared" si="15"/>
        <v>636048.2999999999</v>
      </c>
      <c r="F34" s="143">
        <f t="shared" si="15"/>
        <v>677701.4</v>
      </c>
      <c r="G34" s="143">
        <f t="shared" si="15"/>
        <v>625407.2</v>
      </c>
      <c r="H34" s="143">
        <f t="shared" si="15"/>
        <v>652140.6</v>
      </c>
      <c r="I34" s="179">
        <f t="shared" si="1"/>
        <v>0.9899341564411174</v>
      </c>
      <c r="J34" s="143" t="s">
        <v>52</v>
      </c>
      <c r="K34" s="143">
        <f t="shared" si="8"/>
        <v>41653.10000000009</v>
      </c>
      <c r="L34" s="179">
        <f t="shared" si="9"/>
        <v>1.0654873222678216</v>
      </c>
      <c r="M34" s="180">
        <f t="shared" si="3"/>
        <v>1</v>
      </c>
      <c r="N34" s="143" t="s">
        <v>52</v>
      </c>
      <c r="O34" s="182">
        <f t="shared" si="10"/>
        <v>-52294.20000000007</v>
      </c>
      <c r="P34" s="180">
        <f t="shared" si="11"/>
        <v>0.922835927445332</v>
      </c>
      <c r="Q34" s="180">
        <f t="shared" si="5"/>
        <v>1</v>
      </c>
      <c r="R34" s="143" t="s">
        <v>52</v>
      </c>
      <c r="S34" s="180">
        <f t="shared" si="12"/>
        <v>1.0427455903929472</v>
      </c>
      <c r="T34" s="182">
        <f t="shared" si="7"/>
        <v>26733.400000000023</v>
      </c>
      <c r="U34" s="159">
        <v>684592.4</v>
      </c>
      <c r="V34" s="159">
        <v>170110.4</v>
      </c>
      <c r="W34" s="159">
        <v>625407.2</v>
      </c>
      <c r="X34" s="159">
        <v>176575</v>
      </c>
      <c r="Y34" s="159">
        <v>652140.6</v>
      </c>
      <c r="Z34" s="159">
        <v>183285</v>
      </c>
    </row>
    <row r="35" spans="4:26" s="36" customFormat="1" ht="18.75">
      <c r="D35" s="38"/>
      <c r="Z35" s="159">
        <v>183285</v>
      </c>
    </row>
    <row r="36" s="36" customFormat="1" ht="18.75">
      <c r="D36" s="38"/>
    </row>
    <row r="37" s="36" customFormat="1" ht="18.75">
      <c r="D37" s="38"/>
    </row>
    <row r="38" s="36" customFormat="1" ht="18.75">
      <c r="D38" s="38"/>
    </row>
    <row r="39" s="36" customFormat="1" ht="18.75">
      <c r="D39" s="38"/>
    </row>
    <row r="40" s="36" customFormat="1" ht="18.75">
      <c r="D40" s="38"/>
    </row>
    <row r="41" s="36" customFormat="1" ht="18.75">
      <c r="D41" s="38"/>
    </row>
    <row r="42" s="36" customFormat="1" ht="18.75">
      <c r="D42" s="38"/>
    </row>
    <row r="43" s="36" customFormat="1" ht="18.75">
      <c r="D43" s="38"/>
    </row>
    <row r="44" s="36" customFormat="1" ht="18.75">
      <c r="D44" s="38"/>
    </row>
    <row r="45" s="36" customFormat="1" ht="18.75">
      <c r="D45" s="38"/>
    </row>
    <row r="46" s="36" customFormat="1" ht="18.75">
      <c r="D46" s="38"/>
    </row>
    <row r="47" s="36" customFormat="1" ht="18.75">
      <c r="D47" s="38"/>
    </row>
    <row r="48" s="36" customFormat="1" ht="18.75">
      <c r="D48" s="38"/>
    </row>
    <row r="49" s="36" customFormat="1" ht="18.75">
      <c r="D49" s="38"/>
    </row>
    <row r="50" s="36" customFormat="1" ht="18.75">
      <c r="D50" s="38"/>
    </row>
    <row r="51" s="36" customFormat="1" ht="18.75">
      <c r="D51" s="38"/>
    </row>
    <row r="52" s="36" customFormat="1" ht="18.75">
      <c r="D52" s="38"/>
    </row>
    <row r="53" s="36" customFormat="1" ht="18.75">
      <c r="D53" s="38"/>
    </row>
    <row r="54" s="36" customFormat="1" ht="18.75">
      <c r="D54" s="38"/>
    </row>
    <row r="55" s="36" customFormat="1" ht="18.75">
      <c r="D55" s="38"/>
    </row>
    <row r="56" s="36" customFormat="1" ht="18.75">
      <c r="D56" s="38"/>
    </row>
    <row r="57" s="36" customFormat="1" ht="18.75">
      <c r="D57" s="38"/>
    </row>
    <row r="58" s="36" customFormat="1" ht="18.75">
      <c r="D58" s="38"/>
    </row>
    <row r="59" s="36" customFormat="1" ht="18.75">
      <c r="D59" s="38"/>
    </row>
    <row r="60" ht="18.75">
      <c r="D60" s="184"/>
    </row>
    <row r="61" ht="18.75">
      <c r="D61" s="184"/>
    </row>
    <row r="62" ht="18.75">
      <c r="D62" s="184"/>
    </row>
    <row r="63" ht="18.75">
      <c r="D63" s="184"/>
    </row>
    <row r="64" ht="18.75">
      <c r="D64" s="184"/>
    </row>
    <row r="65" ht="18.75">
      <c r="D65" s="184"/>
    </row>
    <row r="66" ht="18.75">
      <c r="D66" s="184"/>
    </row>
    <row r="67" ht="18.75">
      <c r="D67" s="184"/>
    </row>
    <row r="68" ht="18.75">
      <c r="D68" s="184"/>
    </row>
    <row r="69" ht="18.75">
      <c r="D69" s="184"/>
    </row>
    <row r="70" ht="18.75">
      <c r="D70" s="184"/>
    </row>
    <row r="71" ht="18.75">
      <c r="D71" s="184"/>
    </row>
    <row r="72" ht="18.75">
      <c r="D72" s="184"/>
    </row>
    <row r="73" ht="18.75">
      <c r="D73" s="184"/>
    </row>
    <row r="74" ht="18.75">
      <c r="D74" s="184"/>
    </row>
    <row r="75" ht="18.75">
      <c r="D75" s="184"/>
    </row>
    <row r="76" ht="18.75">
      <c r="D76" s="184"/>
    </row>
    <row r="77" ht="18.75">
      <c r="D77" s="184"/>
    </row>
    <row r="78" ht="18.75">
      <c r="D78" s="184"/>
    </row>
    <row r="79" ht="18.75">
      <c r="D79" s="184"/>
    </row>
    <row r="80" ht="18.75">
      <c r="D80" s="184"/>
    </row>
    <row r="81" ht="18.75">
      <c r="D81" s="184"/>
    </row>
    <row r="82" ht="18.75">
      <c r="D82" s="184"/>
    </row>
    <row r="83" ht="18.75">
      <c r="D83" s="184"/>
    </row>
    <row r="84" ht="18.75">
      <c r="D84" s="184"/>
    </row>
    <row r="85" ht="18.75">
      <c r="D85" s="184"/>
    </row>
    <row r="86" ht="18.75">
      <c r="D86" s="184"/>
    </row>
    <row r="87" ht="18.75">
      <c r="D87" s="184"/>
    </row>
    <row r="88" ht="18.75">
      <c r="D88" s="184"/>
    </row>
    <row r="89" ht="18.75">
      <c r="D89" s="184"/>
    </row>
    <row r="90" ht="18.75">
      <c r="D90" s="184"/>
    </row>
    <row r="91" ht="18.75">
      <c r="D91" s="184"/>
    </row>
    <row r="92" ht="18.75">
      <c r="D92" s="184"/>
    </row>
    <row r="93" ht="18.75">
      <c r="D93" s="184"/>
    </row>
    <row r="94" ht="18.75">
      <c r="D94" s="184"/>
    </row>
    <row r="95" ht="18.75">
      <c r="D95" s="184"/>
    </row>
    <row r="96" ht="18.75">
      <c r="D96" s="184"/>
    </row>
    <row r="97" ht="18.75">
      <c r="D97" s="184"/>
    </row>
    <row r="98" ht="18.75">
      <c r="D98" s="184"/>
    </row>
    <row r="99" ht="18.75">
      <c r="D99" s="184"/>
    </row>
    <row r="100" ht="18.75">
      <c r="D100" s="184"/>
    </row>
    <row r="101" ht="18.75">
      <c r="D101" s="184"/>
    </row>
    <row r="102" ht="18.75">
      <c r="D102" s="184"/>
    </row>
    <row r="103" ht="18.75">
      <c r="D103" s="184"/>
    </row>
    <row r="104" ht="18.75">
      <c r="D104" s="184"/>
    </row>
    <row r="105" ht="18.75">
      <c r="D105" s="184"/>
    </row>
    <row r="106" ht="18.75">
      <c r="D106" s="184"/>
    </row>
    <row r="107" ht="18.75">
      <c r="D107" s="184"/>
    </row>
    <row r="108" ht="18.75">
      <c r="D108" s="184"/>
    </row>
    <row r="109" ht="18.75">
      <c r="D109" s="184"/>
    </row>
    <row r="110" ht="18.75">
      <c r="D110" s="184"/>
    </row>
    <row r="111" ht="18.75">
      <c r="D111" s="184"/>
    </row>
    <row r="112" ht="18.75">
      <c r="D112" s="184"/>
    </row>
    <row r="113" ht="18.75">
      <c r="D113" s="184"/>
    </row>
    <row r="114" ht="18.75">
      <c r="D114" s="184"/>
    </row>
    <row r="115" ht="18.75">
      <c r="D115" s="184"/>
    </row>
    <row r="116" ht="18.75">
      <c r="D116" s="184"/>
    </row>
    <row r="117" ht="18.75">
      <c r="D117" s="184"/>
    </row>
    <row r="118" ht="18.75">
      <c r="D118" s="184"/>
    </row>
    <row r="119" ht="18.75">
      <c r="D119" s="184"/>
    </row>
    <row r="120" ht="18.75">
      <c r="D120" s="184"/>
    </row>
    <row r="121" ht="18.75">
      <c r="D121" s="184"/>
    </row>
    <row r="122" ht="18.75">
      <c r="D122" s="184"/>
    </row>
    <row r="123" ht="18.75">
      <c r="D123" s="184"/>
    </row>
    <row r="124" ht="18.75">
      <c r="D124" s="184"/>
    </row>
    <row r="125" ht="18.75">
      <c r="D125" s="184"/>
    </row>
    <row r="126" ht="18.75">
      <c r="D126" s="184"/>
    </row>
    <row r="127" ht="18.75">
      <c r="D127" s="184"/>
    </row>
    <row r="128" ht="18.75">
      <c r="D128" s="184"/>
    </row>
    <row r="129" ht="18.75">
      <c r="D129" s="184"/>
    </row>
    <row r="130" ht="18.75">
      <c r="D130" s="184"/>
    </row>
    <row r="131" ht="18.75">
      <c r="D131" s="184"/>
    </row>
    <row r="132" ht="18.75">
      <c r="D132" s="184"/>
    </row>
    <row r="133" ht="18.75">
      <c r="D133" s="184"/>
    </row>
    <row r="134" ht="18.75">
      <c r="D134" s="184"/>
    </row>
    <row r="135" ht="18.75">
      <c r="D135" s="184"/>
    </row>
    <row r="136" ht="18.75">
      <c r="D136" s="184"/>
    </row>
    <row r="137" ht="18.75">
      <c r="D137" s="184"/>
    </row>
    <row r="138" ht="18.75">
      <c r="D138" s="184"/>
    </row>
    <row r="139" ht="18.75">
      <c r="D139" s="184"/>
    </row>
    <row r="140" ht="18.75">
      <c r="D140" s="184"/>
    </row>
    <row r="141" ht="18.75">
      <c r="D141" s="184"/>
    </row>
    <row r="142" ht="18.75">
      <c r="D142" s="184"/>
    </row>
    <row r="143" ht="18.75">
      <c r="D143" s="184"/>
    </row>
    <row r="144" ht="18.75">
      <c r="D144" s="184"/>
    </row>
    <row r="145" ht="18.75">
      <c r="D145" s="184"/>
    </row>
    <row r="146" ht="18.75">
      <c r="D146" s="184"/>
    </row>
    <row r="147" ht="18.75">
      <c r="D147" s="184"/>
    </row>
    <row r="148" ht="18.75">
      <c r="D148" s="184"/>
    </row>
    <row r="149" ht="18.75">
      <c r="D149" s="184"/>
    </row>
    <row r="150" ht="18.75">
      <c r="D150" s="184"/>
    </row>
    <row r="151" ht="18.75">
      <c r="D151" s="184"/>
    </row>
    <row r="152" ht="18.75">
      <c r="D152" s="184"/>
    </row>
    <row r="153" ht="18.75">
      <c r="D153" s="184"/>
    </row>
    <row r="154" ht="18.75">
      <c r="D154" s="184"/>
    </row>
    <row r="155" ht="18.75">
      <c r="D155" s="184"/>
    </row>
    <row r="156" ht="18.75">
      <c r="D156" s="184"/>
    </row>
    <row r="157" ht="18.75">
      <c r="D157" s="184"/>
    </row>
    <row r="158" ht="18.75">
      <c r="D158" s="184"/>
    </row>
    <row r="159" ht="18.75">
      <c r="D159" s="184"/>
    </row>
    <row r="160" ht="18.75">
      <c r="D160" s="184"/>
    </row>
    <row r="161" ht="18.75">
      <c r="D161" s="184"/>
    </row>
    <row r="162" ht="18.75">
      <c r="D162" s="184"/>
    </row>
    <row r="163" ht="18.75">
      <c r="D163" s="184"/>
    </row>
    <row r="164" ht="18.75">
      <c r="D164" s="184"/>
    </row>
    <row r="165" ht="18.75">
      <c r="D165" s="184"/>
    </row>
    <row r="166" ht="18.75">
      <c r="D166" s="184"/>
    </row>
    <row r="167" ht="18.75">
      <c r="D167" s="184"/>
    </row>
    <row r="168" ht="18.75">
      <c r="D168" s="184"/>
    </row>
    <row r="169" ht="18.75">
      <c r="D169" s="184"/>
    </row>
    <row r="170" ht="18.75">
      <c r="D170" s="184"/>
    </row>
    <row r="171" ht="18.75">
      <c r="D171" s="184"/>
    </row>
    <row r="172" ht="18.75">
      <c r="D172" s="184"/>
    </row>
    <row r="173" ht="18.75">
      <c r="D173" s="184"/>
    </row>
    <row r="174" ht="18.75">
      <c r="D174" s="184"/>
    </row>
    <row r="175" ht="18.75">
      <c r="D175" s="184"/>
    </row>
    <row r="176" ht="18.75">
      <c r="D176" s="184"/>
    </row>
    <row r="177" ht="18.75">
      <c r="D177" s="184"/>
    </row>
    <row r="178" ht="18.75">
      <c r="D178" s="184"/>
    </row>
    <row r="179" ht="18.75">
      <c r="D179" s="184"/>
    </row>
    <row r="180" ht="18.75">
      <c r="D180" s="184"/>
    </row>
    <row r="181" ht="18.75">
      <c r="D181" s="184"/>
    </row>
    <row r="182" ht="18.75">
      <c r="D182" s="184"/>
    </row>
    <row r="183" ht="18.75">
      <c r="D183" s="184"/>
    </row>
    <row r="184" ht="18.75">
      <c r="D184" s="184"/>
    </row>
    <row r="185" ht="18.75">
      <c r="D185" s="184"/>
    </row>
    <row r="186" ht="18.75">
      <c r="D186" s="184"/>
    </row>
    <row r="187" ht="18.75">
      <c r="D187" s="184"/>
    </row>
    <row r="188" ht="18.75">
      <c r="D188" s="184"/>
    </row>
    <row r="189" ht="18.75">
      <c r="D189" s="184"/>
    </row>
    <row r="190" ht="18.75">
      <c r="D190" s="184"/>
    </row>
    <row r="191" ht="18.75">
      <c r="D191" s="184"/>
    </row>
    <row r="192" ht="18.75">
      <c r="D192" s="184"/>
    </row>
    <row r="193" ht="18.75">
      <c r="D193" s="184"/>
    </row>
    <row r="194" ht="18.75">
      <c r="D194" s="184"/>
    </row>
    <row r="195" ht="18.75">
      <c r="D195" s="184"/>
    </row>
    <row r="196" ht="18.75">
      <c r="D196" s="184"/>
    </row>
    <row r="197" ht="18.75">
      <c r="D197" s="184"/>
    </row>
    <row r="198" ht="18.75">
      <c r="D198" s="184"/>
    </row>
    <row r="199" ht="18.75">
      <c r="D199" s="184"/>
    </row>
    <row r="200" ht="18.75">
      <c r="D200" s="184"/>
    </row>
    <row r="201" ht="18.75">
      <c r="D201" s="184"/>
    </row>
    <row r="202" ht="18.75">
      <c r="D202" s="184"/>
    </row>
    <row r="203" ht="18.75">
      <c r="D203" s="184"/>
    </row>
    <row r="204" ht="18.75">
      <c r="D204" s="184"/>
    </row>
    <row r="205" ht="18.75">
      <c r="D205" s="184"/>
    </row>
    <row r="206" ht="18.75">
      <c r="D206" s="184"/>
    </row>
    <row r="207" ht="18.75">
      <c r="D207" s="184"/>
    </row>
    <row r="208" ht="18.75">
      <c r="D208" s="184"/>
    </row>
    <row r="209" ht="18.75">
      <c r="D209" s="184"/>
    </row>
    <row r="210" ht="18.75">
      <c r="D210" s="184"/>
    </row>
    <row r="211" ht="18.75">
      <c r="D211" s="184"/>
    </row>
    <row r="212" ht="18.75">
      <c r="D212" s="184"/>
    </row>
    <row r="213" ht="18.75">
      <c r="D213" s="184"/>
    </row>
    <row r="214" ht="18.75">
      <c r="D214" s="184"/>
    </row>
    <row r="215" ht="18.75">
      <c r="D215" s="184"/>
    </row>
    <row r="216" ht="18.75">
      <c r="D216" s="184"/>
    </row>
    <row r="217" ht="18.75">
      <c r="D217" s="184"/>
    </row>
    <row r="218" ht="18.75">
      <c r="D218" s="184"/>
    </row>
    <row r="219" ht="18.75">
      <c r="D219" s="184"/>
    </row>
    <row r="220" ht="18.75">
      <c r="D220" s="184"/>
    </row>
    <row r="221" ht="18.75">
      <c r="D221" s="184"/>
    </row>
    <row r="222" ht="18.75">
      <c r="D222" s="184"/>
    </row>
    <row r="223" ht="18.75">
      <c r="D223" s="184"/>
    </row>
    <row r="224" ht="18.75">
      <c r="D224" s="184"/>
    </row>
    <row r="225" ht="18.75">
      <c r="D225" s="184"/>
    </row>
    <row r="226" ht="18.75">
      <c r="D226" s="184"/>
    </row>
    <row r="227" ht="18.75">
      <c r="D227" s="184"/>
    </row>
    <row r="228" ht="18.75">
      <c r="D228" s="184"/>
    </row>
    <row r="229" ht="18.75">
      <c r="D229" s="184"/>
    </row>
    <row r="230" ht="18.75">
      <c r="D230" s="184"/>
    </row>
    <row r="231" ht="18.75">
      <c r="D231" s="184"/>
    </row>
    <row r="232" ht="18.75">
      <c r="D232" s="184"/>
    </row>
    <row r="233" ht="18.75">
      <c r="D233" s="184"/>
    </row>
    <row r="234" ht="18.75">
      <c r="D234" s="184"/>
    </row>
    <row r="235" ht="18.75">
      <c r="D235" s="184"/>
    </row>
    <row r="236" ht="18.75">
      <c r="D236" s="184"/>
    </row>
    <row r="237" ht="18.75">
      <c r="D237" s="184"/>
    </row>
    <row r="238" ht="18.75">
      <c r="D238" s="184"/>
    </row>
    <row r="239" ht="18.75">
      <c r="D239" s="184"/>
    </row>
    <row r="240" ht="18.75">
      <c r="D240" s="184"/>
    </row>
    <row r="241" ht="18.75">
      <c r="D241" s="184"/>
    </row>
    <row r="242" ht="18.75">
      <c r="D242" s="184"/>
    </row>
    <row r="243" ht="18.75">
      <c r="D243" s="184"/>
    </row>
    <row r="244" ht="18.75">
      <c r="D244" s="184"/>
    </row>
    <row r="245" ht="18.75">
      <c r="D245" s="184"/>
    </row>
    <row r="246" ht="18.75">
      <c r="D246" s="184"/>
    </row>
    <row r="247" ht="18.75">
      <c r="D247" s="184"/>
    </row>
    <row r="248" ht="18.75">
      <c r="D248" s="184"/>
    </row>
    <row r="249" ht="18.75">
      <c r="D249" s="184"/>
    </row>
    <row r="250" ht="18.75">
      <c r="D250" s="184"/>
    </row>
    <row r="251" ht="18.75">
      <c r="D251" s="184"/>
    </row>
    <row r="252" ht="18.75">
      <c r="D252" s="184"/>
    </row>
    <row r="253" ht="18.75">
      <c r="D253" s="184"/>
    </row>
    <row r="254" ht="18.75">
      <c r="D254" s="184"/>
    </row>
    <row r="255" ht="18.75">
      <c r="D255" s="184"/>
    </row>
    <row r="256" ht="18.75">
      <c r="D256" s="184"/>
    </row>
    <row r="257" ht="18.75">
      <c r="D257" s="184"/>
    </row>
    <row r="258" ht="18.75">
      <c r="D258" s="184"/>
    </row>
    <row r="259" ht="18.75">
      <c r="D259" s="184"/>
    </row>
    <row r="260" ht="18.75">
      <c r="D260" s="184"/>
    </row>
    <row r="261" ht="18.75">
      <c r="D261" s="184"/>
    </row>
    <row r="262" ht="18.75">
      <c r="D262" s="184"/>
    </row>
    <row r="263" ht="18.75">
      <c r="D263" s="184"/>
    </row>
    <row r="264" ht="18.75">
      <c r="D264" s="184"/>
    </row>
    <row r="265" ht="18.75">
      <c r="D265" s="184"/>
    </row>
    <row r="266" ht="18.75">
      <c r="D266" s="184"/>
    </row>
    <row r="267" ht="18.75">
      <c r="D267" s="184"/>
    </row>
    <row r="268" ht="18.75">
      <c r="D268" s="184"/>
    </row>
    <row r="269" ht="18.75">
      <c r="D269" s="184"/>
    </row>
    <row r="270" ht="18.75">
      <c r="D270" s="184"/>
    </row>
    <row r="271" ht="18.75">
      <c r="D271" s="184"/>
    </row>
    <row r="272" ht="18.75">
      <c r="D272" s="184"/>
    </row>
    <row r="273" ht="18.75">
      <c r="D273" s="184"/>
    </row>
    <row r="274" ht="18.75">
      <c r="D274" s="184"/>
    </row>
    <row r="275" ht="18.75">
      <c r="D275" s="184"/>
    </row>
    <row r="276" ht="18.75">
      <c r="D276" s="184"/>
    </row>
    <row r="277" ht="18.75">
      <c r="D277" s="184"/>
    </row>
    <row r="278" ht="18.75">
      <c r="D278" s="184"/>
    </row>
    <row r="279" ht="18.75">
      <c r="D279" s="184"/>
    </row>
    <row r="280" ht="18.75">
      <c r="D280" s="184"/>
    </row>
    <row r="281" ht="18.75">
      <c r="D281" s="184"/>
    </row>
    <row r="282" ht="18.75">
      <c r="D282" s="184"/>
    </row>
    <row r="283" ht="18.75">
      <c r="D283" s="184"/>
    </row>
    <row r="284" ht="18.75">
      <c r="D284" s="184"/>
    </row>
    <row r="285" ht="18.75">
      <c r="D285" s="184"/>
    </row>
    <row r="286" ht="18.75">
      <c r="D286" s="184"/>
    </row>
    <row r="287" ht="18.75">
      <c r="D287" s="184"/>
    </row>
    <row r="288" ht="18.75">
      <c r="D288" s="184"/>
    </row>
    <row r="289" ht="18.75">
      <c r="D289" s="184"/>
    </row>
    <row r="290" ht="18.75">
      <c r="D290" s="184"/>
    </row>
    <row r="291" ht="18.75">
      <c r="D291" s="184"/>
    </row>
    <row r="292" ht="18.75">
      <c r="D292" s="184"/>
    </row>
    <row r="293" ht="18.75">
      <c r="D293" s="184"/>
    </row>
    <row r="294" ht="18.75">
      <c r="D294" s="184"/>
    </row>
    <row r="295" ht="18.75">
      <c r="D295" s="184"/>
    </row>
    <row r="296" ht="18.75">
      <c r="D296" s="184"/>
    </row>
    <row r="297" ht="18.75">
      <c r="D297" s="184"/>
    </row>
    <row r="298" ht="18.75">
      <c r="D298" s="184"/>
    </row>
    <row r="299" ht="18.75">
      <c r="D299" s="184"/>
    </row>
    <row r="300" ht="18.75">
      <c r="D300" s="184"/>
    </row>
    <row r="301" ht="18.75">
      <c r="D301" s="184"/>
    </row>
    <row r="302" ht="18.75">
      <c r="D302" s="184"/>
    </row>
    <row r="303" ht="18.75">
      <c r="D303" s="184"/>
    </row>
    <row r="304" ht="18.75">
      <c r="D304" s="184"/>
    </row>
    <row r="305" ht="18.75">
      <c r="D305" s="184"/>
    </row>
    <row r="306" ht="18.75">
      <c r="D306" s="184"/>
    </row>
    <row r="307" ht="18.75">
      <c r="D307" s="184"/>
    </row>
    <row r="308" ht="18.75">
      <c r="D308" s="184"/>
    </row>
    <row r="309" ht="18.75">
      <c r="D309" s="184"/>
    </row>
    <row r="310" ht="18.75">
      <c r="D310" s="184"/>
    </row>
    <row r="311" ht="18.75">
      <c r="D311" s="184"/>
    </row>
    <row r="312" ht="18.75">
      <c r="D312" s="184"/>
    </row>
    <row r="313" ht="18.75">
      <c r="D313" s="184"/>
    </row>
    <row r="314" ht="18.75">
      <c r="D314" s="184"/>
    </row>
    <row r="315" ht="18.75">
      <c r="D315" s="184"/>
    </row>
    <row r="316" ht="18.75">
      <c r="D316" s="184"/>
    </row>
    <row r="317" ht="18.75">
      <c r="D317" s="184"/>
    </row>
    <row r="318" ht="18.75">
      <c r="D318" s="184"/>
    </row>
    <row r="319" ht="18.75">
      <c r="D319" s="184"/>
    </row>
    <row r="320" ht="18.75">
      <c r="D320" s="184"/>
    </row>
    <row r="321" ht="18.75">
      <c r="D321" s="184"/>
    </row>
    <row r="322" ht="18.75">
      <c r="D322" s="184"/>
    </row>
    <row r="323" ht="18.75">
      <c r="D323" s="184"/>
    </row>
    <row r="324" ht="18.75">
      <c r="D324" s="184"/>
    </row>
    <row r="325" ht="18.75">
      <c r="D325" s="184"/>
    </row>
    <row r="326" ht="18.75">
      <c r="D326" s="184"/>
    </row>
    <row r="327" ht="18.75">
      <c r="D327" s="184"/>
    </row>
    <row r="328" ht="18.75">
      <c r="D328" s="184"/>
    </row>
    <row r="329" ht="18.75">
      <c r="D329" s="184"/>
    </row>
    <row r="330" ht="18.75">
      <c r="D330" s="184"/>
    </row>
    <row r="331" ht="18.75">
      <c r="D331" s="184"/>
    </row>
    <row r="332" ht="18.75">
      <c r="D332" s="184"/>
    </row>
    <row r="333" ht="18.75">
      <c r="D333" s="184"/>
    </row>
    <row r="334" ht="18.75">
      <c r="D334" s="184"/>
    </row>
    <row r="335" ht="18.75">
      <c r="D335" s="184"/>
    </row>
    <row r="336" ht="18.75">
      <c r="D336" s="184"/>
    </row>
    <row r="337" ht="18.75">
      <c r="D337" s="184"/>
    </row>
    <row r="338" ht="18.75">
      <c r="D338" s="184"/>
    </row>
    <row r="339" ht="18.75">
      <c r="D339" s="184"/>
    </row>
    <row r="340" ht="18.75">
      <c r="D340" s="184"/>
    </row>
    <row r="341" ht="18.75">
      <c r="D341" s="184"/>
    </row>
    <row r="342" ht="18.75">
      <c r="D342" s="184"/>
    </row>
    <row r="343" ht="18.75">
      <c r="D343" s="184"/>
    </row>
    <row r="344" ht="18.75">
      <c r="D344" s="184"/>
    </row>
    <row r="345" ht="18.75">
      <c r="D345" s="184"/>
    </row>
    <row r="346" ht="18.75">
      <c r="D346" s="184"/>
    </row>
    <row r="347" ht="18.75">
      <c r="D347" s="184"/>
    </row>
    <row r="348" ht="18.75">
      <c r="D348" s="184"/>
    </row>
    <row r="349" ht="18.75">
      <c r="D349" s="184"/>
    </row>
    <row r="350" ht="18.75">
      <c r="D350" s="184"/>
    </row>
    <row r="351" ht="18.75">
      <c r="D351" s="184"/>
    </row>
    <row r="352" ht="18.75">
      <c r="D352" s="184"/>
    </row>
    <row r="353" ht="18.75">
      <c r="D353" s="184"/>
    </row>
    <row r="354" ht="18.75">
      <c r="D354" s="184"/>
    </row>
    <row r="355" ht="18.75">
      <c r="D355" s="184"/>
    </row>
    <row r="356" ht="18.75">
      <c r="D356" s="184"/>
    </row>
    <row r="357" ht="18.75">
      <c r="D357" s="184"/>
    </row>
    <row r="358" ht="18.75">
      <c r="D358" s="184"/>
    </row>
    <row r="359" ht="18.75">
      <c r="D359" s="184"/>
    </row>
    <row r="360" ht="18.75">
      <c r="D360" s="184"/>
    </row>
    <row r="361" ht="18.75">
      <c r="D361" s="184"/>
    </row>
    <row r="362" ht="18.75">
      <c r="D362" s="184"/>
    </row>
    <row r="363" ht="18.75">
      <c r="D363" s="184"/>
    </row>
    <row r="364" ht="18.75">
      <c r="D364" s="184"/>
    </row>
    <row r="365" ht="18.75">
      <c r="D365" s="184"/>
    </row>
    <row r="366" ht="18.75">
      <c r="D366" s="184"/>
    </row>
    <row r="367" ht="18.75">
      <c r="D367" s="184"/>
    </row>
    <row r="368" ht="18.75">
      <c r="D368" s="184"/>
    </row>
    <row r="369" ht="18.75">
      <c r="D369" s="184"/>
    </row>
    <row r="370" ht="18.75">
      <c r="D370" s="184"/>
    </row>
    <row r="371" ht="18.75">
      <c r="D371" s="184"/>
    </row>
    <row r="372" ht="18.75">
      <c r="D372" s="184"/>
    </row>
    <row r="373" ht="18.75">
      <c r="D373" s="184"/>
    </row>
    <row r="374" ht="18.75">
      <c r="D374" s="184"/>
    </row>
    <row r="375" ht="18.75">
      <c r="D375" s="184"/>
    </row>
    <row r="376" ht="18.75">
      <c r="D376" s="184"/>
    </row>
    <row r="377" ht="18.75">
      <c r="D377" s="184"/>
    </row>
    <row r="378" ht="18.75">
      <c r="D378" s="184"/>
    </row>
    <row r="379" ht="18.75">
      <c r="D379" s="184"/>
    </row>
    <row r="380" ht="18.75">
      <c r="D380" s="184"/>
    </row>
    <row r="381" ht="18.75">
      <c r="D381" s="184"/>
    </row>
    <row r="382" ht="18.75">
      <c r="D382" s="184"/>
    </row>
    <row r="383" ht="18.75">
      <c r="D383" s="184"/>
    </row>
    <row r="384" ht="18.75">
      <c r="D384" s="184"/>
    </row>
    <row r="385" ht="18.75">
      <c r="D385" s="184"/>
    </row>
    <row r="386" ht="18.75">
      <c r="D386" s="184"/>
    </row>
    <row r="387" ht="18.75">
      <c r="D387" s="184"/>
    </row>
    <row r="388" ht="18.75">
      <c r="D388" s="184"/>
    </row>
    <row r="389" ht="18.75">
      <c r="D389" s="184"/>
    </row>
    <row r="390" ht="18.75">
      <c r="D390" s="184"/>
    </row>
    <row r="391" ht="18.75">
      <c r="D391" s="184"/>
    </row>
    <row r="392" ht="18.75">
      <c r="D392" s="184"/>
    </row>
    <row r="393" ht="18.75">
      <c r="D393" s="184"/>
    </row>
    <row r="394" ht="18.75">
      <c r="D394" s="184"/>
    </row>
    <row r="395" ht="18.75">
      <c r="D395" s="184"/>
    </row>
    <row r="396" ht="18.75">
      <c r="D396" s="184"/>
    </row>
    <row r="397" ht="18.75">
      <c r="D397" s="184"/>
    </row>
    <row r="398" ht="18.75">
      <c r="D398" s="184"/>
    </row>
    <row r="399" ht="18.75">
      <c r="D399" s="184"/>
    </row>
    <row r="400" ht="18.75">
      <c r="D400" s="184"/>
    </row>
    <row r="401" ht="18.75">
      <c r="D401" s="184"/>
    </row>
    <row r="402" ht="18.75">
      <c r="D402" s="184"/>
    </row>
    <row r="403" ht="18.75">
      <c r="D403" s="184"/>
    </row>
    <row r="404" ht="18.75">
      <c r="D404" s="184"/>
    </row>
    <row r="405" ht="18.75">
      <c r="D405" s="184"/>
    </row>
    <row r="406" ht="18.75">
      <c r="D406" s="184"/>
    </row>
    <row r="407" ht="18.75">
      <c r="D407" s="184"/>
    </row>
    <row r="408" ht="18.75">
      <c r="D408" s="184"/>
    </row>
    <row r="409" ht="18.75">
      <c r="D409" s="184"/>
    </row>
    <row r="410" ht="18.75">
      <c r="D410" s="184"/>
    </row>
    <row r="411" ht="18.75">
      <c r="D411" s="184"/>
    </row>
    <row r="412" ht="18.75">
      <c r="D412" s="184"/>
    </row>
    <row r="413" ht="18.75">
      <c r="D413" s="184"/>
    </row>
    <row r="414" ht="18.75">
      <c r="D414" s="184"/>
    </row>
    <row r="415" ht="18.75">
      <c r="D415" s="184"/>
    </row>
    <row r="416" ht="18.75">
      <c r="D416" s="184"/>
    </row>
    <row r="417" ht="18.75">
      <c r="D417" s="184"/>
    </row>
    <row r="418" ht="18.75">
      <c r="D418" s="184"/>
    </row>
    <row r="419" ht="18.75">
      <c r="D419" s="184"/>
    </row>
    <row r="420" ht="18.75">
      <c r="D420" s="184"/>
    </row>
    <row r="421" ht="18.75">
      <c r="D421" s="184"/>
    </row>
    <row r="422" ht="18.75">
      <c r="D422" s="184"/>
    </row>
    <row r="423" ht="18.75">
      <c r="D423" s="184"/>
    </row>
    <row r="424" ht="18.75">
      <c r="D424" s="184"/>
    </row>
    <row r="425" ht="18.75">
      <c r="D425" s="184"/>
    </row>
    <row r="426" ht="18.75">
      <c r="D426" s="184"/>
    </row>
    <row r="427" ht="18.75">
      <c r="D427" s="184"/>
    </row>
    <row r="428" ht="18.75">
      <c r="D428" s="184"/>
    </row>
    <row r="429" ht="18.75">
      <c r="D429" s="184"/>
    </row>
    <row r="430" ht="18.75">
      <c r="D430" s="184"/>
    </row>
    <row r="431" ht="18.75">
      <c r="D431" s="184"/>
    </row>
    <row r="432" ht="18.75">
      <c r="D432" s="184"/>
    </row>
    <row r="433" ht="18.75">
      <c r="D433" s="184"/>
    </row>
    <row r="434" ht="18.75">
      <c r="D434" s="184"/>
    </row>
    <row r="435" ht="18.75">
      <c r="D435" s="184"/>
    </row>
    <row r="436" ht="18.75">
      <c r="D436" s="184"/>
    </row>
    <row r="437" ht="18.75">
      <c r="D437" s="184"/>
    </row>
    <row r="438" ht="18.75">
      <c r="D438" s="184"/>
    </row>
    <row r="439" ht="18.75">
      <c r="D439" s="184"/>
    </row>
    <row r="440" ht="18.75">
      <c r="D440" s="184"/>
    </row>
    <row r="441" ht="18.75">
      <c r="D441" s="184"/>
    </row>
    <row r="442" ht="18.75">
      <c r="D442" s="184"/>
    </row>
    <row r="443" ht="18.75">
      <c r="D443" s="184"/>
    </row>
    <row r="444" ht="18.75">
      <c r="D444" s="184"/>
    </row>
    <row r="445" ht="18.75">
      <c r="D445" s="184"/>
    </row>
    <row r="446" ht="18.75">
      <c r="D446" s="184"/>
    </row>
    <row r="447" ht="18.75">
      <c r="D447" s="184"/>
    </row>
    <row r="448" ht="18.75">
      <c r="D448" s="184"/>
    </row>
    <row r="449" ht="18.75">
      <c r="D449" s="184"/>
    </row>
    <row r="450" ht="18.75">
      <c r="D450" s="184"/>
    </row>
    <row r="451" ht="18.75">
      <c r="D451" s="184"/>
    </row>
    <row r="452" ht="18.75">
      <c r="D452" s="184"/>
    </row>
    <row r="453" ht="18.75">
      <c r="D453" s="184"/>
    </row>
    <row r="454" ht="18.75">
      <c r="D454" s="184"/>
    </row>
    <row r="455" ht="18.75">
      <c r="D455" s="184"/>
    </row>
    <row r="456" ht="18.75">
      <c r="D456" s="184"/>
    </row>
    <row r="457" ht="18.75">
      <c r="D457" s="184"/>
    </row>
    <row r="458" ht="18.75">
      <c r="D458" s="184"/>
    </row>
    <row r="459" ht="18.75">
      <c r="D459" s="184"/>
    </row>
    <row r="460" ht="18.75">
      <c r="D460" s="184"/>
    </row>
    <row r="461" ht="18.75">
      <c r="D461" s="184"/>
    </row>
    <row r="462" ht="18.75">
      <c r="D462" s="184"/>
    </row>
    <row r="463" ht="18.75">
      <c r="D463" s="184"/>
    </row>
    <row r="464" ht="18.75">
      <c r="D464" s="184"/>
    </row>
    <row r="465" ht="18.75">
      <c r="D465" s="184"/>
    </row>
    <row r="466" ht="18.75">
      <c r="D466" s="184"/>
    </row>
    <row r="467" ht="18.75">
      <c r="D467" s="184"/>
    </row>
    <row r="468" ht="18.75">
      <c r="D468" s="184"/>
    </row>
    <row r="469" ht="18.75">
      <c r="D469" s="184"/>
    </row>
    <row r="470" ht="18.75">
      <c r="D470" s="184"/>
    </row>
    <row r="471" ht="18.75">
      <c r="D471" s="184"/>
    </row>
    <row r="472" ht="18.75">
      <c r="D472" s="184"/>
    </row>
    <row r="473" ht="18.75">
      <c r="D473" s="184"/>
    </row>
    <row r="474" ht="18.75">
      <c r="D474" s="184"/>
    </row>
    <row r="475" ht="18.75">
      <c r="D475" s="184"/>
    </row>
    <row r="476" ht="18.75">
      <c r="D476" s="184"/>
    </row>
    <row r="477" ht="18.75">
      <c r="D477" s="184"/>
    </row>
    <row r="478" ht="18.75">
      <c r="D478" s="184"/>
    </row>
    <row r="479" ht="18.75">
      <c r="D479" s="184"/>
    </row>
    <row r="480" ht="18.75">
      <c r="D480" s="184"/>
    </row>
    <row r="481" ht="18.75">
      <c r="D481" s="184"/>
    </row>
    <row r="482" ht="18.75">
      <c r="D482" s="184"/>
    </row>
    <row r="483" ht="18.75">
      <c r="D483" s="184"/>
    </row>
    <row r="484" ht="18.75">
      <c r="D484" s="184"/>
    </row>
    <row r="485" ht="18.75">
      <c r="D485" s="184"/>
    </row>
    <row r="486" ht="18.75">
      <c r="D486" s="184"/>
    </row>
    <row r="487" ht="18.75">
      <c r="D487" s="184"/>
    </row>
    <row r="488" ht="18.75">
      <c r="D488" s="184"/>
    </row>
    <row r="489" ht="18.75">
      <c r="D489" s="184"/>
    </row>
    <row r="490" ht="18.75">
      <c r="D490" s="184"/>
    </row>
    <row r="491" ht="18.75">
      <c r="D491" s="184"/>
    </row>
    <row r="492" ht="18.75">
      <c r="D492" s="184"/>
    </row>
    <row r="493" ht="18.75">
      <c r="D493" s="184"/>
    </row>
    <row r="494" ht="18.75">
      <c r="D494" s="184"/>
    </row>
    <row r="495" ht="18.75">
      <c r="D495" s="184"/>
    </row>
    <row r="496" ht="18.75">
      <c r="D496" s="184"/>
    </row>
    <row r="497" ht="18.75">
      <c r="D497" s="184"/>
    </row>
    <row r="498" ht="18.75">
      <c r="D498" s="184"/>
    </row>
    <row r="499" ht="18.75">
      <c r="D499" s="184"/>
    </row>
    <row r="500" ht="18.75">
      <c r="D500" s="184"/>
    </row>
    <row r="501" ht="18.75">
      <c r="D501" s="184"/>
    </row>
    <row r="502" ht="18.75">
      <c r="D502" s="184"/>
    </row>
    <row r="503" ht="18.75">
      <c r="D503" s="184"/>
    </row>
    <row r="504" ht="18.75">
      <c r="D504" s="184"/>
    </row>
    <row r="505" ht="18.75">
      <c r="D505" s="184"/>
    </row>
    <row r="506" ht="18.75">
      <c r="D506" s="184"/>
    </row>
    <row r="507" ht="18.75">
      <c r="D507" s="184"/>
    </row>
    <row r="508" ht="18.75">
      <c r="D508" s="184"/>
    </row>
    <row r="509" ht="18.75">
      <c r="D509" s="184"/>
    </row>
    <row r="510" ht="18.75">
      <c r="D510" s="184"/>
    </row>
    <row r="511" ht="18.75">
      <c r="D511" s="184"/>
    </row>
    <row r="512" ht="18.75">
      <c r="D512" s="184"/>
    </row>
    <row r="513" ht="18.75">
      <c r="D513" s="184"/>
    </row>
    <row r="514" ht="18.75">
      <c r="D514" s="184"/>
    </row>
    <row r="515" ht="18.75">
      <c r="D515" s="184"/>
    </row>
    <row r="516" ht="18.75">
      <c r="D516" s="184"/>
    </row>
    <row r="517" ht="18.75">
      <c r="D517" s="184"/>
    </row>
    <row r="518" ht="18.75">
      <c r="D518" s="184"/>
    </row>
    <row r="519" ht="18.75">
      <c r="D519" s="184"/>
    </row>
    <row r="520" ht="18.75">
      <c r="D520" s="184"/>
    </row>
    <row r="521" ht="18.75">
      <c r="D521" s="184"/>
    </row>
    <row r="522" ht="18.75">
      <c r="D522" s="184"/>
    </row>
    <row r="523" ht="18.75">
      <c r="D523" s="184"/>
    </row>
    <row r="524" ht="18.75">
      <c r="D524" s="184"/>
    </row>
    <row r="525" ht="18.75">
      <c r="D525" s="184"/>
    </row>
    <row r="526" ht="18.75">
      <c r="D526" s="184"/>
    </row>
    <row r="527" ht="18.75">
      <c r="D527" s="184"/>
    </row>
    <row r="528" ht="18.75">
      <c r="D528" s="184"/>
    </row>
    <row r="529" ht="18.75">
      <c r="D529" s="184"/>
    </row>
    <row r="530" ht="18.75">
      <c r="D530" s="184"/>
    </row>
    <row r="531" ht="18.75">
      <c r="D531" s="184"/>
    </row>
    <row r="532" ht="18.75">
      <c r="D532" s="184"/>
    </row>
    <row r="533" ht="18.75">
      <c r="D533" s="184"/>
    </row>
    <row r="534" ht="18.75">
      <c r="D534" s="184"/>
    </row>
    <row r="535" ht="18.75">
      <c r="D535" s="184"/>
    </row>
    <row r="536" ht="18.75">
      <c r="D536" s="184"/>
    </row>
    <row r="537" ht="18.75">
      <c r="D537" s="184"/>
    </row>
    <row r="538" ht="18.75">
      <c r="D538" s="184"/>
    </row>
    <row r="539" ht="18.75">
      <c r="D539" s="184"/>
    </row>
    <row r="540" ht="18.75">
      <c r="D540" s="184"/>
    </row>
    <row r="541" ht="18.75">
      <c r="D541" s="184"/>
    </row>
    <row r="542" ht="18.75">
      <c r="D542" s="184"/>
    </row>
    <row r="543" ht="18.75">
      <c r="D543" s="184"/>
    </row>
    <row r="544" ht="18.75">
      <c r="D544" s="184"/>
    </row>
    <row r="545" ht="18.75">
      <c r="D545" s="184"/>
    </row>
    <row r="546" ht="18.75">
      <c r="D546" s="184"/>
    </row>
    <row r="547" ht="18.75">
      <c r="D547" s="184"/>
    </row>
    <row r="548" ht="18.75">
      <c r="D548" s="184"/>
    </row>
    <row r="549" ht="18.75">
      <c r="D549" s="184"/>
    </row>
    <row r="550" ht="18.75">
      <c r="D550" s="184"/>
    </row>
    <row r="551" ht="18.75">
      <c r="D551" s="184"/>
    </row>
    <row r="552" ht="18.75">
      <c r="D552" s="184"/>
    </row>
    <row r="553" ht="18.75">
      <c r="D553" s="184"/>
    </row>
    <row r="554" ht="18.75">
      <c r="D554" s="184"/>
    </row>
    <row r="555" ht="18.75">
      <c r="D555" s="184"/>
    </row>
    <row r="556" ht="18.75">
      <c r="D556" s="184"/>
    </row>
    <row r="557" ht="18.75">
      <c r="D557" s="184"/>
    </row>
    <row r="558" ht="18.75">
      <c r="D558" s="184"/>
    </row>
    <row r="559" ht="18.75">
      <c r="D559" s="184"/>
    </row>
    <row r="560" ht="18.75">
      <c r="D560" s="184"/>
    </row>
    <row r="561" ht="18.75">
      <c r="D561" s="184"/>
    </row>
    <row r="562" ht="18.75">
      <c r="D562" s="184"/>
    </row>
    <row r="563" ht="18.75">
      <c r="D563" s="184"/>
    </row>
    <row r="564" ht="18.75">
      <c r="D564" s="184"/>
    </row>
    <row r="565" ht="18.75">
      <c r="D565" s="184"/>
    </row>
    <row r="566" ht="18.75">
      <c r="D566" s="184"/>
    </row>
    <row r="567" ht="18.75">
      <c r="D567" s="184"/>
    </row>
    <row r="568" ht="18.75">
      <c r="D568" s="184"/>
    </row>
    <row r="569" ht="18.75">
      <c r="D569" s="184"/>
    </row>
    <row r="570" ht="18.75">
      <c r="D570" s="184"/>
    </row>
    <row r="571" ht="18.75">
      <c r="D571" s="184"/>
    </row>
    <row r="572" ht="18.75">
      <c r="D572" s="184"/>
    </row>
    <row r="573" ht="18.75">
      <c r="D573" s="184"/>
    </row>
    <row r="574" ht="18.75">
      <c r="D574" s="184"/>
    </row>
    <row r="575" ht="18.75">
      <c r="D575" s="184"/>
    </row>
    <row r="576" ht="18.75">
      <c r="D576" s="184"/>
    </row>
    <row r="577" ht="18.75">
      <c r="D577" s="184"/>
    </row>
    <row r="578" ht="18.75">
      <c r="D578" s="184"/>
    </row>
    <row r="579" ht="18.75">
      <c r="D579" s="184"/>
    </row>
    <row r="580" ht="18.75">
      <c r="D580" s="184"/>
    </row>
    <row r="581" ht="18.75">
      <c r="D581" s="184"/>
    </row>
    <row r="582" ht="18.75">
      <c r="D582" s="184"/>
    </row>
    <row r="583" ht="18.75">
      <c r="D583" s="184"/>
    </row>
    <row r="584" ht="18.75">
      <c r="D584" s="184"/>
    </row>
    <row r="585" ht="18.75">
      <c r="D585" s="184"/>
    </row>
    <row r="586" ht="18.75">
      <c r="D586" s="184"/>
    </row>
    <row r="587" ht="18.75">
      <c r="D587" s="184"/>
    </row>
    <row r="588" ht="18.75">
      <c r="D588" s="184"/>
    </row>
    <row r="589" ht="18.75">
      <c r="D589" s="184"/>
    </row>
    <row r="590" ht="18.75">
      <c r="D590" s="184"/>
    </row>
    <row r="591" ht="18.75">
      <c r="D591" s="184"/>
    </row>
    <row r="592" ht="18.75">
      <c r="D592" s="184"/>
    </row>
    <row r="593" ht="18.75">
      <c r="D593" s="184"/>
    </row>
    <row r="594" ht="18.75">
      <c r="D594" s="184"/>
    </row>
    <row r="595" ht="18.75">
      <c r="D595" s="184"/>
    </row>
    <row r="596" ht="18.75">
      <c r="D596" s="184"/>
    </row>
    <row r="597" ht="18.75">
      <c r="D597" s="184"/>
    </row>
    <row r="598" ht="18.75">
      <c r="D598" s="184"/>
    </row>
    <row r="599" ht="18.75">
      <c r="D599" s="184"/>
    </row>
    <row r="600" ht="18.75">
      <c r="D600" s="184"/>
    </row>
    <row r="601" ht="18.75">
      <c r="D601" s="184"/>
    </row>
    <row r="602" ht="18.75">
      <c r="D602" s="184"/>
    </row>
    <row r="603" ht="18.75">
      <c r="D603" s="184"/>
    </row>
    <row r="604" ht="18.75">
      <c r="D604" s="184"/>
    </row>
    <row r="605" ht="18.75">
      <c r="D605" s="184"/>
    </row>
    <row r="606" ht="18.75">
      <c r="D606" s="184"/>
    </row>
    <row r="607" ht="18.75">
      <c r="D607" s="184"/>
    </row>
    <row r="608" ht="18.75">
      <c r="D608" s="184"/>
    </row>
    <row r="609" ht="18.75">
      <c r="D609" s="184"/>
    </row>
    <row r="610" ht="18.75">
      <c r="D610" s="184"/>
    </row>
    <row r="611" ht="18.75">
      <c r="D611" s="184"/>
    </row>
    <row r="612" ht="18.75">
      <c r="D612" s="184"/>
    </row>
    <row r="613" ht="18.75">
      <c r="D613" s="184"/>
    </row>
    <row r="614" ht="18.75">
      <c r="D614" s="184"/>
    </row>
    <row r="615" ht="18.75">
      <c r="D615" s="184"/>
    </row>
    <row r="616" ht="18.75">
      <c r="D616" s="184"/>
    </row>
    <row r="617" ht="18.75">
      <c r="D617" s="184"/>
    </row>
    <row r="618" ht="18.75">
      <c r="D618" s="184"/>
    </row>
    <row r="619" ht="18.75">
      <c r="D619" s="184"/>
    </row>
    <row r="620" ht="18.75">
      <c r="D620" s="184"/>
    </row>
    <row r="621" ht="18.75">
      <c r="D621" s="184"/>
    </row>
    <row r="622" ht="18.75">
      <c r="D622" s="184"/>
    </row>
    <row r="623" ht="18.75">
      <c r="D623" s="184"/>
    </row>
    <row r="624" ht="18.75">
      <c r="D624" s="184"/>
    </row>
    <row r="625" ht="18.75">
      <c r="D625" s="184"/>
    </row>
    <row r="626" ht="18.75">
      <c r="D626" s="184"/>
    </row>
    <row r="627" ht="18.75">
      <c r="D627" s="184"/>
    </row>
    <row r="628" ht="18.75">
      <c r="D628" s="184"/>
    </row>
    <row r="629" ht="18.75">
      <c r="D629" s="184"/>
    </row>
    <row r="630" ht="18.75">
      <c r="D630" s="184"/>
    </row>
    <row r="631" ht="18.75">
      <c r="D631" s="184"/>
    </row>
    <row r="632" ht="18.75">
      <c r="D632" s="184"/>
    </row>
    <row r="633" ht="18.75">
      <c r="D633" s="184"/>
    </row>
    <row r="634" ht="18.75">
      <c r="D634" s="184"/>
    </row>
    <row r="635" ht="18.75">
      <c r="D635" s="184"/>
    </row>
    <row r="636" ht="18.75">
      <c r="D636" s="184"/>
    </row>
    <row r="637" ht="18.75">
      <c r="D637" s="184"/>
    </row>
    <row r="638" ht="18.75">
      <c r="D638" s="184"/>
    </row>
    <row r="639" ht="18.75">
      <c r="D639" s="184"/>
    </row>
    <row r="640" ht="18.75">
      <c r="D640" s="184"/>
    </row>
    <row r="641" ht="18.75">
      <c r="D641" s="184"/>
    </row>
    <row r="642" ht="18.75">
      <c r="D642" s="184"/>
    </row>
    <row r="643" ht="18.75">
      <c r="D643" s="184"/>
    </row>
    <row r="644" ht="18.75">
      <c r="D644" s="184"/>
    </row>
    <row r="645" ht="18.75">
      <c r="D645" s="184"/>
    </row>
    <row r="646" ht="18.75">
      <c r="D646" s="184"/>
    </row>
    <row r="647" ht="18.75">
      <c r="D647" s="184"/>
    </row>
    <row r="648" ht="18.75">
      <c r="D648" s="184"/>
    </row>
    <row r="649" ht="18.75">
      <c r="D649" s="184"/>
    </row>
    <row r="650" ht="18.75">
      <c r="D650" s="184"/>
    </row>
    <row r="651" ht="18.75">
      <c r="D651" s="184"/>
    </row>
    <row r="652" ht="18.75">
      <c r="D652" s="184"/>
    </row>
    <row r="653" ht="18.75">
      <c r="D653" s="184"/>
    </row>
    <row r="654" ht="18.75">
      <c r="D654" s="184"/>
    </row>
    <row r="655" ht="18.75">
      <c r="D655" s="184"/>
    </row>
    <row r="656" ht="18.75">
      <c r="D656" s="184"/>
    </row>
    <row r="657" ht="18.75">
      <c r="D657" s="184"/>
    </row>
    <row r="658" ht="18.75">
      <c r="D658" s="184"/>
    </row>
    <row r="659" ht="18.75">
      <c r="D659" s="184"/>
    </row>
    <row r="660" ht="18.75">
      <c r="D660" s="184"/>
    </row>
    <row r="661" ht="18.75">
      <c r="D661" s="184"/>
    </row>
    <row r="662" ht="18.75">
      <c r="D662" s="184"/>
    </row>
    <row r="663" ht="18.75">
      <c r="D663" s="184"/>
    </row>
    <row r="664" ht="18.75">
      <c r="D664" s="184"/>
    </row>
    <row r="665" ht="18.75">
      <c r="D665" s="184"/>
    </row>
    <row r="666" ht="18.75">
      <c r="D666" s="184"/>
    </row>
    <row r="667" ht="18.75">
      <c r="D667" s="184"/>
    </row>
    <row r="668" ht="18.75">
      <c r="D668" s="184"/>
    </row>
    <row r="669" ht="18.75">
      <c r="D669" s="184"/>
    </row>
    <row r="670" ht="18.75">
      <c r="D670" s="184"/>
    </row>
    <row r="671" ht="18.75">
      <c r="D671" s="184"/>
    </row>
    <row r="672" ht="18.75">
      <c r="D672" s="184"/>
    </row>
    <row r="673" ht="18.75">
      <c r="D673" s="184"/>
    </row>
    <row r="674" ht="18.75">
      <c r="D674" s="184"/>
    </row>
    <row r="675" ht="18.75">
      <c r="D675" s="184"/>
    </row>
    <row r="676" ht="18.75">
      <c r="D676" s="184"/>
    </row>
    <row r="677" ht="18.75">
      <c r="D677" s="184"/>
    </row>
    <row r="678" ht="18.75">
      <c r="D678" s="184"/>
    </row>
    <row r="679" ht="18.75">
      <c r="D679" s="184"/>
    </row>
    <row r="680" ht="18.75">
      <c r="D680" s="184"/>
    </row>
    <row r="681" ht="18.75">
      <c r="D681" s="184"/>
    </row>
    <row r="682" ht="18.75">
      <c r="D682" s="184"/>
    </row>
    <row r="683" ht="18.75">
      <c r="D683" s="184"/>
    </row>
    <row r="684" ht="18.75">
      <c r="D684" s="184"/>
    </row>
    <row r="685" ht="18.75">
      <c r="D685" s="184"/>
    </row>
    <row r="686" ht="18.75">
      <c r="D686" s="184"/>
    </row>
    <row r="687" ht="18.75">
      <c r="D687" s="184"/>
    </row>
    <row r="688" ht="18.75">
      <c r="D688" s="184"/>
    </row>
    <row r="689" ht="18.75">
      <c r="D689" s="184"/>
    </row>
    <row r="690" ht="18.75">
      <c r="D690" s="184"/>
    </row>
    <row r="691" ht="18.75">
      <c r="D691" s="184"/>
    </row>
    <row r="692" ht="18.75">
      <c r="D692" s="184"/>
    </row>
    <row r="693" ht="18.75">
      <c r="D693" s="184"/>
    </row>
    <row r="694" ht="18.75">
      <c r="D694" s="184"/>
    </row>
    <row r="695" ht="18.75">
      <c r="D695" s="184"/>
    </row>
    <row r="696" ht="18.75">
      <c r="D696" s="184"/>
    </row>
    <row r="697" ht="18.75">
      <c r="D697" s="184"/>
    </row>
    <row r="698" ht="18.75">
      <c r="D698" s="184"/>
    </row>
    <row r="699" ht="18.75">
      <c r="D699" s="184"/>
    </row>
    <row r="700" ht="18.75">
      <c r="D700" s="184"/>
    </row>
    <row r="701" ht="18.75">
      <c r="D701" s="184"/>
    </row>
    <row r="702" ht="18.75">
      <c r="D702" s="184"/>
    </row>
    <row r="703" ht="18.75">
      <c r="D703" s="184"/>
    </row>
    <row r="704" ht="18.75">
      <c r="D704" s="184"/>
    </row>
    <row r="705" ht="18.75">
      <c r="D705" s="184"/>
    </row>
    <row r="706" ht="18.75">
      <c r="D706" s="184"/>
    </row>
    <row r="707" ht="18.75">
      <c r="D707" s="184"/>
    </row>
    <row r="708" ht="18.75">
      <c r="D708" s="184"/>
    </row>
    <row r="709" ht="18.75">
      <c r="D709" s="184"/>
    </row>
    <row r="710" ht="18.75">
      <c r="D710" s="184"/>
    </row>
    <row r="711" ht="18.75">
      <c r="D711" s="184"/>
    </row>
    <row r="712" ht="18.75">
      <c r="D712" s="184"/>
    </row>
    <row r="713" ht="18.75">
      <c r="D713" s="184"/>
    </row>
    <row r="714" ht="18.75">
      <c r="D714" s="184"/>
    </row>
    <row r="715" ht="18.75">
      <c r="D715" s="184"/>
    </row>
    <row r="716" ht="18.75">
      <c r="D716" s="184"/>
    </row>
    <row r="717" ht="18.75">
      <c r="D717" s="184"/>
    </row>
    <row r="718" ht="18.75">
      <c r="D718" s="184"/>
    </row>
    <row r="719" ht="18.75">
      <c r="D719" s="184"/>
    </row>
    <row r="720" ht="18.75">
      <c r="D720" s="184"/>
    </row>
    <row r="721" ht="18.75">
      <c r="D721" s="184"/>
    </row>
    <row r="722" ht="18.75">
      <c r="D722" s="184"/>
    </row>
    <row r="723" ht="18.75">
      <c r="D723" s="184"/>
    </row>
    <row r="724" ht="18.75">
      <c r="D724" s="184"/>
    </row>
    <row r="725" ht="18.75">
      <c r="D725" s="184"/>
    </row>
    <row r="726" ht="18.75">
      <c r="D726" s="184"/>
    </row>
    <row r="727" ht="18.75">
      <c r="D727" s="184"/>
    </row>
    <row r="728" ht="18.75">
      <c r="D728" s="184"/>
    </row>
    <row r="729" ht="18.75">
      <c r="D729" s="184"/>
    </row>
    <row r="730" ht="18.75">
      <c r="D730" s="184"/>
    </row>
    <row r="731" ht="18.75">
      <c r="D731" s="184"/>
    </row>
    <row r="732" ht="18.75">
      <c r="D732" s="184"/>
    </row>
    <row r="733" ht="18.75">
      <c r="D733" s="184"/>
    </row>
    <row r="734" ht="18.75">
      <c r="D734" s="184"/>
    </row>
    <row r="735" ht="18.75">
      <c r="D735" s="184"/>
    </row>
    <row r="736" ht="18.75">
      <c r="D736" s="184"/>
    </row>
    <row r="737" ht="18.75">
      <c r="D737" s="184"/>
    </row>
    <row r="738" ht="18.75">
      <c r="D738" s="184"/>
    </row>
    <row r="739" ht="18.75">
      <c r="D739" s="184"/>
    </row>
    <row r="740" ht="18.75">
      <c r="D740" s="184"/>
    </row>
    <row r="741" ht="18.75">
      <c r="D741" s="184"/>
    </row>
    <row r="742" ht="18.75">
      <c r="D742" s="184"/>
    </row>
    <row r="743" ht="18.75">
      <c r="D743" s="184"/>
    </row>
    <row r="744" ht="18.75">
      <c r="D744" s="184"/>
    </row>
    <row r="745" ht="18.75">
      <c r="D745" s="184"/>
    </row>
    <row r="746" ht="18.75">
      <c r="D746" s="184"/>
    </row>
    <row r="747" ht="18.75">
      <c r="D747" s="184"/>
    </row>
    <row r="748" ht="18.75">
      <c r="D748" s="184"/>
    </row>
    <row r="749" ht="18.75">
      <c r="D749" s="184"/>
    </row>
    <row r="750" ht="18.75">
      <c r="D750" s="184"/>
    </row>
    <row r="751" ht="18.75">
      <c r="D751" s="184"/>
    </row>
    <row r="752" ht="18.75">
      <c r="D752" s="184"/>
    </row>
    <row r="753" ht="18.75">
      <c r="D753" s="184"/>
    </row>
    <row r="754" ht="18.75">
      <c r="D754" s="184"/>
    </row>
    <row r="755" ht="18.75">
      <c r="D755" s="184"/>
    </row>
    <row r="756" ht="18.75">
      <c r="D756" s="184"/>
    </row>
    <row r="757" ht="18.75">
      <c r="D757" s="184"/>
    </row>
    <row r="758" ht="18.75">
      <c r="D758" s="184"/>
    </row>
    <row r="759" ht="18.75">
      <c r="D759" s="184"/>
    </row>
    <row r="760" ht="18.75">
      <c r="D760" s="184"/>
    </row>
    <row r="761" ht="18.75">
      <c r="D761" s="184"/>
    </row>
    <row r="762" ht="18.75">
      <c r="D762" s="184"/>
    </row>
    <row r="763" ht="18.75">
      <c r="D763" s="184"/>
    </row>
    <row r="764" ht="18.75">
      <c r="D764" s="184"/>
    </row>
    <row r="765" ht="18.75">
      <c r="D765" s="184"/>
    </row>
    <row r="766" ht="18.75">
      <c r="D766" s="184"/>
    </row>
    <row r="767" ht="18.75">
      <c r="D767" s="184"/>
    </row>
    <row r="768" ht="18.75">
      <c r="D768" s="184"/>
    </row>
    <row r="769" ht="18.75">
      <c r="D769" s="184"/>
    </row>
    <row r="770" ht="18.75">
      <c r="D770" s="184"/>
    </row>
    <row r="771" ht="18.75">
      <c r="D771" s="184"/>
    </row>
    <row r="772" ht="18.75">
      <c r="D772" s="184"/>
    </row>
    <row r="773" ht="18.75">
      <c r="D773" s="184"/>
    </row>
    <row r="774" ht="18.75">
      <c r="D774" s="184"/>
    </row>
    <row r="775" ht="18.75">
      <c r="D775" s="184"/>
    </row>
    <row r="776" ht="18.75">
      <c r="D776" s="184"/>
    </row>
    <row r="777" ht="18.75">
      <c r="D777" s="184"/>
    </row>
    <row r="778" ht="18.75">
      <c r="D778" s="184"/>
    </row>
    <row r="779" ht="18.75">
      <c r="D779" s="184"/>
    </row>
    <row r="780" ht="18.75">
      <c r="D780" s="184"/>
    </row>
    <row r="781" ht="18.75">
      <c r="D781" s="184"/>
    </row>
    <row r="782" ht="18.75">
      <c r="D782" s="184"/>
    </row>
    <row r="783" ht="18.75">
      <c r="D783" s="184"/>
    </row>
    <row r="784" ht="18.75">
      <c r="D784" s="184"/>
    </row>
    <row r="785" ht="18.75">
      <c r="D785" s="184"/>
    </row>
    <row r="786" ht="18.75">
      <c r="D786" s="184"/>
    </row>
    <row r="787" ht="18.75">
      <c r="D787" s="184"/>
    </row>
    <row r="788" ht="18.75">
      <c r="D788" s="184"/>
    </row>
    <row r="789" ht="18.75">
      <c r="D789" s="184"/>
    </row>
    <row r="790" ht="18.75">
      <c r="D790" s="184"/>
    </row>
    <row r="791" ht="18.75">
      <c r="D791" s="184"/>
    </row>
    <row r="792" ht="18.75">
      <c r="D792" s="184"/>
    </row>
    <row r="793" ht="18.75">
      <c r="D793" s="184"/>
    </row>
    <row r="794" ht="18.75">
      <c r="D794" s="184"/>
    </row>
    <row r="795" ht="18.75">
      <c r="D795" s="184"/>
    </row>
    <row r="796" ht="18.75">
      <c r="D796" s="184"/>
    </row>
    <row r="797" ht="18.75">
      <c r="D797" s="184"/>
    </row>
    <row r="798" ht="18.75">
      <c r="D798" s="184"/>
    </row>
    <row r="799" ht="18.75">
      <c r="D799" s="184"/>
    </row>
    <row r="800" ht="18.75">
      <c r="D800" s="184"/>
    </row>
    <row r="801" ht="18.75">
      <c r="D801" s="184"/>
    </row>
    <row r="802" ht="18.75">
      <c r="D802" s="184"/>
    </row>
    <row r="803" ht="18.75">
      <c r="D803" s="184"/>
    </row>
    <row r="804" ht="18.75">
      <c r="D804" s="184"/>
    </row>
    <row r="805" ht="18.75">
      <c r="D805" s="184"/>
    </row>
    <row r="806" ht="18.75">
      <c r="D806" s="184"/>
    </row>
    <row r="807" ht="18.75">
      <c r="D807" s="184"/>
    </row>
    <row r="808" ht="18.75">
      <c r="D808" s="184"/>
    </row>
    <row r="809" ht="18.75">
      <c r="D809" s="184"/>
    </row>
    <row r="810" ht="18.75">
      <c r="D810" s="184"/>
    </row>
    <row r="811" ht="18.75">
      <c r="D811" s="184"/>
    </row>
    <row r="812" ht="18.75">
      <c r="D812" s="184"/>
    </row>
    <row r="813" ht="18.75">
      <c r="D813" s="184"/>
    </row>
    <row r="814" ht="18.75">
      <c r="D814" s="184"/>
    </row>
    <row r="815" ht="18.75">
      <c r="D815" s="184"/>
    </row>
    <row r="816" ht="18.75">
      <c r="D816" s="184"/>
    </row>
    <row r="817" ht="18.75">
      <c r="D817" s="184"/>
    </row>
    <row r="818" ht="18.75">
      <c r="D818" s="184"/>
    </row>
    <row r="819" ht="18.75">
      <c r="D819" s="184"/>
    </row>
    <row r="820" ht="18.75">
      <c r="D820" s="184"/>
    </row>
    <row r="821" ht="18.75">
      <c r="D821" s="184"/>
    </row>
    <row r="822" ht="18.75">
      <c r="D822" s="184"/>
    </row>
    <row r="823" ht="18.75">
      <c r="D823" s="184"/>
    </row>
    <row r="824" ht="18.75">
      <c r="D824" s="184"/>
    </row>
    <row r="825" ht="18.75">
      <c r="D825" s="184"/>
    </row>
    <row r="826" ht="18.75">
      <c r="D826" s="184"/>
    </row>
    <row r="827" ht="18.75">
      <c r="D827" s="184"/>
    </row>
    <row r="828" ht="18.75">
      <c r="D828" s="184"/>
    </row>
    <row r="829" ht="18.75">
      <c r="D829" s="184"/>
    </row>
    <row r="830" ht="18.75">
      <c r="D830" s="184"/>
    </row>
    <row r="831" ht="18.75">
      <c r="D831" s="184"/>
    </row>
    <row r="832" ht="18.75">
      <c r="D832" s="184"/>
    </row>
    <row r="833" ht="18.75">
      <c r="D833" s="184"/>
    </row>
    <row r="834" ht="18.75">
      <c r="D834" s="184"/>
    </row>
    <row r="835" ht="18.75">
      <c r="D835" s="184"/>
    </row>
    <row r="836" ht="18.75">
      <c r="D836" s="184"/>
    </row>
    <row r="837" ht="18.75">
      <c r="D837" s="184"/>
    </row>
    <row r="838" ht="18.75">
      <c r="D838" s="184"/>
    </row>
    <row r="839" ht="18.75">
      <c r="D839" s="184"/>
    </row>
    <row r="840" ht="18.75">
      <c r="D840" s="184"/>
    </row>
    <row r="841" ht="18.75">
      <c r="D841" s="184"/>
    </row>
    <row r="842" ht="18.75">
      <c r="D842" s="184"/>
    </row>
    <row r="843" ht="18.75">
      <c r="D843" s="184"/>
    </row>
    <row r="844" ht="18.75">
      <c r="D844" s="184"/>
    </row>
    <row r="845" ht="18.75">
      <c r="D845" s="184"/>
    </row>
    <row r="846" ht="18.75">
      <c r="D846" s="184"/>
    </row>
    <row r="847" ht="18.75">
      <c r="D847" s="184"/>
    </row>
    <row r="848" ht="18.75">
      <c r="D848" s="184"/>
    </row>
    <row r="849" ht="18.75">
      <c r="D849" s="184"/>
    </row>
    <row r="850" ht="18.75">
      <c r="D850" s="184"/>
    </row>
    <row r="851" ht="18.75">
      <c r="D851" s="184"/>
    </row>
    <row r="852" ht="18.75">
      <c r="D852" s="184"/>
    </row>
    <row r="853" ht="18.75">
      <c r="D853" s="184"/>
    </row>
    <row r="854" ht="18.75">
      <c r="D854" s="184"/>
    </row>
    <row r="855" ht="18.75">
      <c r="D855" s="184"/>
    </row>
    <row r="856" ht="18.75">
      <c r="D856" s="184"/>
    </row>
    <row r="857" ht="18.75">
      <c r="D857" s="184"/>
    </row>
    <row r="858" ht="18.75">
      <c r="D858" s="184"/>
    </row>
    <row r="859" ht="18.75">
      <c r="D859" s="184"/>
    </row>
    <row r="860" ht="18.75">
      <c r="D860" s="184"/>
    </row>
    <row r="861" ht="18.75">
      <c r="D861" s="184"/>
    </row>
    <row r="862" ht="18.75">
      <c r="D862" s="184"/>
    </row>
    <row r="863" ht="18.75">
      <c r="D863" s="184"/>
    </row>
    <row r="864" ht="18.75">
      <c r="D864" s="184"/>
    </row>
    <row r="865" ht="18.75">
      <c r="D865" s="184"/>
    </row>
    <row r="866" ht="18.75">
      <c r="D866" s="184"/>
    </row>
    <row r="867" ht="18.75">
      <c r="D867" s="184"/>
    </row>
    <row r="868" ht="18.75">
      <c r="D868" s="184"/>
    </row>
    <row r="869" ht="18.75">
      <c r="D869" s="184"/>
    </row>
    <row r="870" ht="18.75">
      <c r="D870" s="184"/>
    </row>
    <row r="871" ht="18.75">
      <c r="D871" s="184"/>
    </row>
    <row r="872" ht="18.75">
      <c r="D872" s="184"/>
    </row>
    <row r="873" ht="18.75">
      <c r="D873" s="184"/>
    </row>
    <row r="874" ht="18.75">
      <c r="D874" s="184"/>
    </row>
    <row r="875" ht="18.75">
      <c r="D875" s="184"/>
    </row>
    <row r="876" ht="18.75">
      <c r="D876" s="184"/>
    </row>
    <row r="877" ht="18.75">
      <c r="D877" s="184"/>
    </row>
    <row r="878" ht="18.75">
      <c r="D878" s="184"/>
    </row>
    <row r="879" ht="18.75">
      <c r="D879" s="184"/>
    </row>
    <row r="880" ht="18.75">
      <c r="D880" s="184"/>
    </row>
    <row r="881" ht="18.75">
      <c r="D881" s="184"/>
    </row>
    <row r="882" ht="18.75">
      <c r="D882" s="184"/>
    </row>
    <row r="883" ht="18.75">
      <c r="D883" s="184"/>
    </row>
    <row r="884" ht="18.75">
      <c r="D884" s="184"/>
    </row>
    <row r="885" ht="18.75">
      <c r="D885" s="184"/>
    </row>
    <row r="886" ht="18.75">
      <c r="D886" s="184"/>
    </row>
    <row r="887" ht="18.75">
      <c r="D887" s="184"/>
    </row>
    <row r="888" ht="18.75">
      <c r="D888" s="184"/>
    </row>
    <row r="889" ht="18.75">
      <c r="D889" s="184"/>
    </row>
    <row r="890" ht="18.75">
      <c r="D890" s="184"/>
    </row>
    <row r="891" ht="18.75">
      <c r="D891" s="184"/>
    </row>
    <row r="892" ht="18.75">
      <c r="D892" s="184"/>
    </row>
    <row r="893" ht="18.75">
      <c r="D893" s="184"/>
    </row>
    <row r="894" ht="18.75">
      <c r="D894" s="184"/>
    </row>
    <row r="895" ht="18.75">
      <c r="D895" s="184"/>
    </row>
    <row r="896" ht="18.75">
      <c r="D896" s="184"/>
    </row>
    <row r="897" ht="18.75">
      <c r="D897" s="184"/>
    </row>
    <row r="898" ht="18.75">
      <c r="D898" s="184"/>
    </row>
    <row r="899" ht="18.75">
      <c r="D899" s="184"/>
    </row>
    <row r="900" ht="18.75">
      <c r="D900" s="184"/>
    </row>
    <row r="901" ht="18.75">
      <c r="D901" s="184"/>
    </row>
    <row r="902" ht="18.75">
      <c r="D902" s="184"/>
    </row>
    <row r="903" ht="18.75">
      <c r="D903" s="184"/>
    </row>
    <row r="904" ht="18.75">
      <c r="D904" s="184"/>
    </row>
    <row r="905" ht="18.75">
      <c r="D905" s="184"/>
    </row>
    <row r="906" ht="18.75">
      <c r="D906" s="184"/>
    </row>
    <row r="907" ht="18.75">
      <c r="D907" s="184"/>
    </row>
    <row r="908" ht="18.75">
      <c r="D908" s="184"/>
    </row>
    <row r="909" ht="18.75">
      <c r="D909" s="184"/>
    </row>
    <row r="910" ht="18.75">
      <c r="D910" s="184"/>
    </row>
    <row r="911" ht="18.75">
      <c r="D911" s="184"/>
    </row>
    <row r="912" ht="18.75">
      <c r="D912" s="184"/>
    </row>
    <row r="913" ht="18.75">
      <c r="D913" s="184"/>
    </row>
    <row r="914" ht="18.75">
      <c r="D914" s="184"/>
    </row>
    <row r="915" ht="18.75">
      <c r="D915" s="184"/>
    </row>
    <row r="916" ht="18.75">
      <c r="D916" s="184"/>
    </row>
    <row r="917" ht="18.75">
      <c r="D917" s="184"/>
    </row>
    <row r="918" ht="18.75">
      <c r="D918" s="184"/>
    </row>
    <row r="919" ht="18.75">
      <c r="D919" s="184"/>
    </row>
    <row r="920" ht="18.75">
      <c r="D920" s="184"/>
    </row>
    <row r="921" ht="18.75">
      <c r="D921" s="184"/>
    </row>
    <row r="922" ht="18.75">
      <c r="D922" s="184"/>
    </row>
    <row r="923" ht="18.75">
      <c r="D923" s="184"/>
    </row>
    <row r="924" ht="18.75">
      <c r="D924" s="184"/>
    </row>
    <row r="925" ht="18.75">
      <c r="D925" s="184"/>
    </row>
    <row r="926" ht="18.75">
      <c r="D926" s="184"/>
    </row>
    <row r="927" ht="18.75">
      <c r="D927" s="184"/>
    </row>
    <row r="928" ht="18.75">
      <c r="D928" s="184"/>
    </row>
    <row r="929" ht="18.75">
      <c r="D929" s="184"/>
    </row>
    <row r="930" ht="18.75">
      <c r="D930" s="184"/>
    </row>
    <row r="931" ht="18.75">
      <c r="D931" s="184"/>
    </row>
    <row r="932" ht="18.75">
      <c r="D932" s="184"/>
    </row>
    <row r="933" ht="18.75">
      <c r="D933" s="184"/>
    </row>
    <row r="934" ht="18.75">
      <c r="D934" s="184"/>
    </row>
    <row r="935" ht="18.75">
      <c r="D935" s="184"/>
    </row>
    <row r="936" ht="18.75">
      <c r="D936" s="184"/>
    </row>
    <row r="937" ht="18.75">
      <c r="D937" s="184"/>
    </row>
    <row r="938" ht="18.75">
      <c r="D938" s="184"/>
    </row>
    <row r="939" ht="18.75">
      <c r="D939" s="184"/>
    </row>
    <row r="940" ht="18.75">
      <c r="D940" s="184"/>
    </row>
    <row r="941" ht="18.75">
      <c r="D941" s="184"/>
    </row>
    <row r="942" ht="18.75">
      <c r="D942" s="184"/>
    </row>
    <row r="943" ht="18.75">
      <c r="D943" s="184"/>
    </row>
    <row r="944" ht="18.75">
      <c r="D944" s="184"/>
    </row>
    <row r="945" ht="18.75">
      <c r="D945" s="184"/>
    </row>
    <row r="946" ht="18.75">
      <c r="D946" s="184"/>
    </row>
    <row r="947" ht="18.75">
      <c r="D947" s="184"/>
    </row>
    <row r="948" ht="18.75">
      <c r="D948" s="184"/>
    </row>
    <row r="949" ht="18.75">
      <c r="D949" s="184"/>
    </row>
    <row r="950" ht="18.75">
      <c r="D950" s="184"/>
    </row>
    <row r="951" ht="18.75">
      <c r="D951" s="184"/>
    </row>
    <row r="952" ht="18.75">
      <c r="D952" s="184"/>
    </row>
    <row r="953" ht="18.75">
      <c r="D953" s="184"/>
    </row>
    <row r="954" ht="18.75">
      <c r="D954" s="184"/>
    </row>
    <row r="955" ht="18.75">
      <c r="D955" s="184"/>
    </row>
    <row r="956" ht="18.75">
      <c r="D956" s="184"/>
    </row>
    <row r="957" ht="18.75">
      <c r="D957" s="184"/>
    </row>
    <row r="958" ht="18.75">
      <c r="D958" s="184"/>
    </row>
    <row r="959" ht="18.75">
      <c r="D959" s="184"/>
    </row>
    <row r="960" ht="18.75">
      <c r="D960" s="184"/>
    </row>
    <row r="961" ht="18.75">
      <c r="D961" s="184"/>
    </row>
    <row r="962" ht="18.75">
      <c r="D962" s="184"/>
    </row>
    <row r="963" ht="18.75">
      <c r="D963" s="184"/>
    </row>
    <row r="964" ht="18.75">
      <c r="D964" s="184"/>
    </row>
    <row r="965" ht="18.75">
      <c r="D965" s="184"/>
    </row>
    <row r="966" ht="18.75">
      <c r="D966" s="184"/>
    </row>
    <row r="967" ht="18.75">
      <c r="D967" s="184"/>
    </row>
    <row r="968" ht="18.75">
      <c r="D968" s="184"/>
    </row>
    <row r="969" ht="18.75">
      <c r="D969" s="184"/>
    </row>
    <row r="970" ht="18.75">
      <c r="D970" s="184"/>
    </row>
    <row r="971" ht="18.75">
      <c r="D971" s="184"/>
    </row>
    <row r="972" ht="18.75">
      <c r="D972" s="184"/>
    </row>
    <row r="973" ht="18.75">
      <c r="D973" s="184"/>
    </row>
    <row r="974" ht="18.75">
      <c r="D974" s="184"/>
    </row>
    <row r="975" ht="18.75">
      <c r="D975" s="184"/>
    </row>
    <row r="976" ht="18.75">
      <c r="D976" s="184"/>
    </row>
    <row r="977" ht="18.75">
      <c r="D977" s="184"/>
    </row>
    <row r="978" ht="18.75">
      <c r="D978" s="184"/>
    </row>
    <row r="979" ht="18.75">
      <c r="D979" s="184"/>
    </row>
    <row r="980" ht="18.75">
      <c r="D980" s="184"/>
    </row>
    <row r="981" ht="18.75">
      <c r="D981" s="184"/>
    </row>
    <row r="982" ht="18.75">
      <c r="D982" s="184"/>
    </row>
    <row r="983" ht="18.75">
      <c r="D983" s="184"/>
    </row>
    <row r="984" ht="18.75">
      <c r="D984" s="184"/>
    </row>
    <row r="985" ht="18.75">
      <c r="D985" s="184"/>
    </row>
    <row r="986" ht="18.75">
      <c r="D986" s="184"/>
    </row>
    <row r="987" ht="18.75">
      <c r="D987" s="184"/>
    </row>
    <row r="988" ht="18.75">
      <c r="D988" s="184"/>
    </row>
    <row r="989" ht="18.75">
      <c r="D989" s="184"/>
    </row>
    <row r="990" ht="18.75">
      <c r="D990" s="184"/>
    </row>
    <row r="991" ht="18.75">
      <c r="D991" s="184"/>
    </row>
    <row r="992" ht="18.75">
      <c r="D992" s="184"/>
    </row>
    <row r="993" ht="18.75">
      <c r="D993" s="184"/>
    </row>
    <row r="994" ht="18.75">
      <c r="D994" s="184"/>
    </row>
    <row r="995" ht="18.75">
      <c r="D995" s="184"/>
    </row>
    <row r="996" ht="18.75">
      <c r="D996" s="184"/>
    </row>
    <row r="997" ht="18.75">
      <c r="D997" s="184"/>
    </row>
    <row r="998" ht="18.75">
      <c r="D998" s="184"/>
    </row>
    <row r="999" ht="18.75">
      <c r="D999" s="184"/>
    </row>
    <row r="1000" ht="18.75">
      <c r="D1000" s="184"/>
    </row>
    <row r="1001" ht="18.75">
      <c r="D1001" s="184"/>
    </row>
    <row r="1002" ht="18.75">
      <c r="D1002" s="184"/>
    </row>
    <row r="1003" ht="18.75">
      <c r="D1003" s="184"/>
    </row>
    <row r="1004" ht="18.75">
      <c r="D1004" s="184"/>
    </row>
    <row r="1005" ht="18.75">
      <c r="D1005" s="184"/>
    </row>
    <row r="1006" ht="18.75">
      <c r="D1006" s="184"/>
    </row>
    <row r="1007" ht="18.75">
      <c r="D1007" s="184"/>
    </row>
    <row r="1008" ht="18.75">
      <c r="D1008" s="184"/>
    </row>
    <row r="1009" ht="18.75">
      <c r="D1009" s="184"/>
    </row>
    <row r="1010" ht="18.75">
      <c r="D1010" s="184"/>
    </row>
    <row r="1011" ht="18.75">
      <c r="D1011" s="184"/>
    </row>
    <row r="1012" ht="18.75">
      <c r="D1012" s="184"/>
    </row>
    <row r="1013" ht="18.75">
      <c r="D1013" s="184"/>
    </row>
    <row r="1014" ht="18.75">
      <c r="D1014" s="184"/>
    </row>
    <row r="1015" ht="18.75">
      <c r="D1015" s="184"/>
    </row>
    <row r="1016" ht="18.75">
      <c r="D1016" s="184"/>
    </row>
    <row r="1017" ht="18.75">
      <c r="D1017" s="184"/>
    </row>
    <row r="1018" ht="18.75">
      <c r="D1018" s="184"/>
    </row>
    <row r="1019" ht="18.75">
      <c r="D1019" s="184"/>
    </row>
    <row r="1020" ht="18.75">
      <c r="D1020" s="184"/>
    </row>
    <row r="1021" ht="18.75">
      <c r="D1021" s="184"/>
    </row>
    <row r="1022" ht="18.75">
      <c r="D1022" s="184"/>
    </row>
    <row r="1023" ht="18.75">
      <c r="D1023" s="184"/>
    </row>
    <row r="1024" ht="18.75">
      <c r="D1024" s="184"/>
    </row>
    <row r="1025" ht="18.75">
      <c r="D1025" s="184"/>
    </row>
    <row r="1026" ht="18.75">
      <c r="D1026" s="184"/>
    </row>
    <row r="1027" ht="18.75">
      <c r="D1027" s="184"/>
    </row>
    <row r="1028" ht="18.75">
      <c r="D1028" s="184"/>
    </row>
    <row r="1029" ht="18.75">
      <c r="D1029" s="184"/>
    </row>
    <row r="1030" ht="18.75">
      <c r="D1030" s="184"/>
    </row>
    <row r="1031" ht="18.75">
      <c r="D1031" s="184"/>
    </row>
    <row r="1032" ht="18.75">
      <c r="D1032" s="184"/>
    </row>
    <row r="1033" ht="18.75">
      <c r="D1033" s="184"/>
    </row>
    <row r="1034" ht="18.75">
      <c r="D1034" s="184"/>
    </row>
    <row r="1035" ht="18.75">
      <c r="D1035" s="184"/>
    </row>
    <row r="1036" ht="18.75">
      <c r="D1036" s="184"/>
    </row>
    <row r="1037" ht="18.75">
      <c r="D1037" s="184"/>
    </row>
    <row r="1038" ht="18.75">
      <c r="D1038" s="184"/>
    </row>
    <row r="1039" ht="18.75">
      <c r="D1039" s="184"/>
    </row>
    <row r="1040" ht="18.75">
      <c r="D1040" s="184"/>
    </row>
    <row r="1041" ht="18.75">
      <c r="D1041" s="184"/>
    </row>
    <row r="1042" ht="18.75">
      <c r="D1042" s="184"/>
    </row>
    <row r="1043" ht="18.75">
      <c r="D1043" s="184"/>
    </row>
    <row r="1044" ht="18.75">
      <c r="D1044" s="184"/>
    </row>
    <row r="1045" ht="18.75">
      <c r="D1045" s="184"/>
    </row>
    <row r="1046" ht="18.75">
      <c r="D1046" s="184"/>
    </row>
    <row r="1047" ht="18.75">
      <c r="D1047" s="184"/>
    </row>
    <row r="1048" ht="18.75">
      <c r="D1048" s="184"/>
    </row>
    <row r="1049" ht="18.75">
      <c r="D1049" s="184"/>
    </row>
    <row r="1050" ht="18.75">
      <c r="D1050" s="184"/>
    </row>
    <row r="1051" ht="18.75">
      <c r="D1051" s="184"/>
    </row>
    <row r="1052" ht="18.75">
      <c r="D1052" s="184"/>
    </row>
    <row r="1053" ht="18.75">
      <c r="D1053" s="184"/>
    </row>
    <row r="1054" ht="18.75">
      <c r="D1054" s="184"/>
    </row>
    <row r="1055" ht="18.75">
      <c r="D1055" s="184"/>
    </row>
    <row r="1056" ht="18.75">
      <c r="D1056" s="184"/>
    </row>
    <row r="1057" ht="18.75">
      <c r="D1057" s="184"/>
    </row>
    <row r="1058" ht="18.75">
      <c r="D1058" s="184"/>
    </row>
    <row r="1059" ht="18.75">
      <c r="D1059" s="184"/>
    </row>
    <row r="1060" ht="18.75">
      <c r="D1060" s="184"/>
    </row>
    <row r="1061" ht="18.75">
      <c r="D1061" s="184"/>
    </row>
    <row r="1062" ht="18.75">
      <c r="D1062" s="184"/>
    </row>
    <row r="1063" ht="18.75">
      <c r="D1063" s="184"/>
    </row>
    <row r="1064" ht="18.75">
      <c r="D1064" s="184"/>
    </row>
    <row r="1065" ht="18.75">
      <c r="D1065" s="184"/>
    </row>
    <row r="1066" ht="18.75">
      <c r="D1066" s="184"/>
    </row>
    <row r="1067" ht="18.75">
      <c r="D1067" s="184"/>
    </row>
    <row r="1068" ht="18.75">
      <c r="D1068" s="184"/>
    </row>
    <row r="1069" ht="18.75">
      <c r="D1069" s="184"/>
    </row>
    <row r="1070" ht="18.75">
      <c r="D1070" s="184"/>
    </row>
    <row r="1071" ht="18.75">
      <c r="D1071" s="184"/>
    </row>
    <row r="1072" ht="18.75">
      <c r="D1072" s="184"/>
    </row>
    <row r="1073" ht="18.75">
      <c r="D1073" s="184"/>
    </row>
    <row r="1074" ht="18.75">
      <c r="D1074" s="184"/>
    </row>
    <row r="1075" ht="18.75">
      <c r="D1075" s="184"/>
    </row>
    <row r="1076" ht="18.75">
      <c r="D1076" s="184"/>
    </row>
    <row r="1077" ht="18.75">
      <c r="D1077" s="184"/>
    </row>
    <row r="1078" ht="18.75">
      <c r="D1078" s="184"/>
    </row>
    <row r="1079" ht="18.75">
      <c r="D1079" s="184"/>
    </row>
    <row r="1080" ht="18.75">
      <c r="D1080" s="184"/>
    </row>
    <row r="1081" ht="18.75">
      <c r="D1081" s="184"/>
    </row>
    <row r="1082" ht="18.75">
      <c r="D1082" s="184"/>
    </row>
    <row r="1083" ht="18.75">
      <c r="D1083" s="184"/>
    </row>
    <row r="1084" ht="18.75">
      <c r="D1084" s="184"/>
    </row>
    <row r="1085" ht="18.75">
      <c r="D1085" s="184"/>
    </row>
    <row r="1086" ht="18.75">
      <c r="D1086" s="184"/>
    </row>
    <row r="1087" ht="18.75">
      <c r="D1087" s="184"/>
    </row>
    <row r="1088" ht="18.75">
      <c r="D1088" s="184"/>
    </row>
    <row r="1089" ht="18.75">
      <c r="D1089" s="184"/>
    </row>
    <row r="1090" ht="18.75">
      <c r="D1090" s="184"/>
    </row>
    <row r="1091" ht="18.75">
      <c r="D1091" s="184"/>
    </row>
    <row r="1092" ht="18.75">
      <c r="D1092" s="184"/>
    </row>
    <row r="1093" ht="18.75">
      <c r="D1093" s="184"/>
    </row>
    <row r="1094" ht="18.75">
      <c r="D1094" s="184"/>
    </row>
    <row r="1095" ht="18.75">
      <c r="D1095" s="184"/>
    </row>
    <row r="1096" ht="18.75">
      <c r="D1096" s="184"/>
    </row>
    <row r="1097" ht="18.75">
      <c r="D1097" s="184"/>
    </row>
    <row r="1098" ht="18.75">
      <c r="D1098" s="184"/>
    </row>
    <row r="1099" ht="18.75">
      <c r="D1099" s="184"/>
    </row>
    <row r="1100" ht="18.75">
      <c r="D1100" s="184"/>
    </row>
    <row r="1101" ht="18.75">
      <c r="D1101" s="184"/>
    </row>
    <row r="1102" ht="18.75">
      <c r="D1102" s="184"/>
    </row>
    <row r="1103" ht="18.75">
      <c r="D1103" s="184"/>
    </row>
    <row r="1104" ht="18.75">
      <c r="D1104" s="184"/>
    </row>
    <row r="1105" ht="18.75">
      <c r="D1105" s="184"/>
    </row>
    <row r="1106" ht="18.75">
      <c r="D1106" s="184"/>
    </row>
    <row r="1107" ht="18.75">
      <c r="D1107" s="184"/>
    </row>
    <row r="1108" ht="18.75">
      <c r="D1108" s="184"/>
    </row>
    <row r="1109" ht="18.75">
      <c r="D1109" s="184"/>
    </row>
    <row r="1110" ht="18.75">
      <c r="D1110" s="184"/>
    </row>
    <row r="1111" ht="18.75">
      <c r="D1111" s="184"/>
    </row>
    <row r="1112" ht="18.75">
      <c r="D1112" s="184"/>
    </row>
    <row r="1113" ht="18.75">
      <c r="D1113" s="184"/>
    </row>
    <row r="1114" ht="18.75">
      <c r="D1114" s="184"/>
    </row>
    <row r="1115" ht="18.75">
      <c r="D1115" s="184"/>
    </row>
    <row r="1116" ht="18.75">
      <c r="D1116" s="184"/>
    </row>
    <row r="1117" ht="18.75">
      <c r="D1117" s="184"/>
    </row>
    <row r="1118" ht="18.75">
      <c r="D1118" s="184"/>
    </row>
    <row r="1119" ht="18.75">
      <c r="D1119" s="184"/>
    </row>
    <row r="1120" ht="18.75">
      <c r="D1120" s="184"/>
    </row>
    <row r="1121" ht="18.75">
      <c r="D1121" s="184"/>
    </row>
    <row r="1122" ht="18.75">
      <c r="D1122" s="184"/>
    </row>
    <row r="1123" ht="18.75">
      <c r="D1123" s="184"/>
    </row>
    <row r="1124" ht="18.75">
      <c r="D1124" s="184"/>
    </row>
    <row r="1125" ht="18.75">
      <c r="D1125" s="184"/>
    </row>
    <row r="1126" ht="18.75">
      <c r="D1126" s="184"/>
    </row>
    <row r="1127" ht="18.75">
      <c r="D1127" s="184"/>
    </row>
    <row r="1128" ht="18.75">
      <c r="D1128" s="184"/>
    </row>
    <row r="1129" ht="18.75">
      <c r="D1129" s="184"/>
    </row>
    <row r="1130" ht="18.75">
      <c r="D1130" s="184"/>
    </row>
    <row r="1131" ht="18.75">
      <c r="D1131" s="184"/>
    </row>
    <row r="1132" ht="18.75">
      <c r="D1132" s="184"/>
    </row>
    <row r="1133" ht="18.75">
      <c r="D1133" s="184"/>
    </row>
    <row r="1134" ht="18.75">
      <c r="D1134" s="184"/>
    </row>
    <row r="1135" ht="18.75">
      <c r="D1135" s="184"/>
    </row>
    <row r="1136" ht="18.75">
      <c r="D1136" s="184"/>
    </row>
    <row r="1137" ht="18.75">
      <c r="D1137" s="184"/>
    </row>
    <row r="1138" ht="18.75">
      <c r="D1138" s="184"/>
    </row>
    <row r="1139" ht="18.75">
      <c r="D1139" s="184"/>
    </row>
    <row r="1140" ht="18.75">
      <c r="D1140" s="184"/>
    </row>
    <row r="1141" ht="18.75">
      <c r="D1141" s="184"/>
    </row>
    <row r="1142" ht="18.75">
      <c r="D1142" s="184"/>
    </row>
    <row r="1143" ht="18.75">
      <c r="D1143" s="184"/>
    </row>
    <row r="1144" ht="18.75">
      <c r="D1144" s="184"/>
    </row>
    <row r="1145" ht="18.75">
      <c r="D1145" s="184"/>
    </row>
    <row r="1146" ht="18.75">
      <c r="D1146" s="184"/>
    </row>
    <row r="1147" ht="18.75">
      <c r="D1147" s="184"/>
    </row>
    <row r="1148" ht="18.75">
      <c r="D1148" s="184"/>
    </row>
    <row r="1149" ht="18.75">
      <c r="D1149" s="184"/>
    </row>
    <row r="1150" ht="18.75">
      <c r="D1150" s="184"/>
    </row>
    <row r="1151" ht="18.75">
      <c r="D1151" s="184"/>
    </row>
    <row r="1152" ht="18.75">
      <c r="D1152" s="184"/>
    </row>
    <row r="1153" ht="18.75">
      <c r="D1153" s="184"/>
    </row>
    <row r="1154" ht="18.75">
      <c r="D1154" s="184"/>
    </row>
    <row r="1155" ht="18.75">
      <c r="D1155" s="184"/>
    </row>
    <row r="1156" ht="18.75">
      <c r="D1156" s="184"/>
    </row>
    <row r="1157" ht="18.75">
      <c r="D1157" s="184"/>
    </row>
    <row r="1158" ht="18.75">
      <c r="D1158" s="184"/>
    </row>
    <row r="1159" ht="18.75">
      <c r="D1159" s="184"/>
    </row>
    <row r="1160" ht="18.75">
      <c r="D1160" s="184"/>
    </row>
    <row r="1161" ht="18.75">
      <c r="D1161" s="184"/>
    </row>
    <row r="1162" ht="18.75">
      <c r="D1162" s="184"/>
    </row>
    <row r="1163" ht="18.75">
      <c r="D1163" s="184"/>
    </row>
    <row r="1164" ht="18.75">
      <c r="D1164" s="184"/>
    </row>
    <row r="1165" ht="18.75">
      <c r="D1165" s="184"/>
    </row>
    <row r="1166" ht="18.75">
      <c r="D1166" s="184"/>
    </row>
    <row r="1167" ht="18.75">
      <c r="D1167" s="184"/>
    </row>
    <row r="1168" ht="18.75">
      <c r="D1168" s="184"/>
    </row>
    <row r="1169" ht="18.75">
      <c r="D1169" s="184"/>
    </row>
    <row r="1170" ht="18.75">
      <c r="D1170" s="184"/>
    </row>
    <row r="1171" ht="18.75">
      <c r="D1171" s="184"/>
    </row>
    <row r="1172" ht="18.75">
      <c r="D1172" s="184"/>
    </row>
    <row r="1173" ht="18.75">
      <c r="D1173" s="184"/>
    </row>
    <row r="1174" ht="18.75">
      <c r="D1174" s="184"/>
    </row>
    <row r="1175" ht="18.75">
      <c r="D1175" s="184"/>
    </row>
    <row r="1176" ht="18.75">
      <c r="D1176" s="184"/>
    </row>
    <row r="1177" ht="18.75">
      <c r="D1177" s="184"/>
    </row>
    <row r="1178" ht="18.75">
      <c r="D1178" s="184"/>
    </row>
    <row r="1179" ht="18.75">
      <c r="D1179" s="184"/>
    </row>
    <row r="1180" ht="18.75">
      <c r="D1180" s="184"/>
    </row>
    <row r="1181" ht="18.75">
      <c r="D1181" s="184"/>
    </row>
    <row r="1182" ht="18.75">
      <c r="D1182" s="184"/>
    </row>
    <row r="1183" ht="18.75">
      <c r="D1183" s="184"/>
    </row>
    <row r="1184" ht="18.75">
      <c r="D1184" s="184"/>
    </row>
    <row r="1185" ht="18.75">
      <c r="D1185" s="184"/>
    </row>
    <row r="1186" ht="18.75">
      <c r="D1186" s="184"/>
    </row>
    <row r="1187" ht="18.75">
      <c r="D1187" s="184"/>
    </row>
    <row r="1188" ht="18.75">
      <c r="D1188" s="184"/>
    </row>
    <row r="1189" ht="18.75">
      <c r="D1189" s="184"/>
    </row>
    <row r="1190" ht="18.75">
      <c r="D1190" s="184"/>
    </row>
    <row r="1191" ht="18.75">
      <c r="D1191" s="184"/>
    </row>
    <row r="1192" ht="18.75">
      <c r="D1192" s="184"/>
    </row>
    <row r="1193" ht="18.75">
      <c r="D1193" s="184"/>
    </row>
  </sheetData>
  <sheetProtection/>
  <mergeCells count="17">
    <mergeCell ref="K5:K6"/>
    <mergeCell ref="A1:J1"/>
    <mergeCell ref="D4:F4"/>
    <mergeCell ref="A5:A6"/>
    <mergeCell ref="B5:B6"/>
    <mergeCell ref="I5:I6"/>
    <mergeCell ref="J5:J6"/>
    <mergeCell ref="T5:T6"/>
    <mergeCell ref="C5:H5"/>
    <mergeCell ref="M5:M6"/>
    <mergeCell ref="N5:N6"/>
    <mergeCell ref="O5:O6"/>
    <mergeCell ref="Q5:Q6"/>
    <mergeCell ref="R5:R6"/>
    <mergeCell ref="L5:L6"/>
    <mergeCell ref="P5:P6"/>
    <mergeCell ref="S5:S6"/>
  </mergeCells>
  <printOptions/>
  <pageMargins left="0" right="0" top="0" bottom="0" header="0.31496062992125984" footer="0.31496062992125984"/>
  <pageSetup fitToHeight="3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V177"/>
  <sheetViews>
    <sheetView view="pageBreakPreview" zoomScale="80" zoomScaleSheetLayoutView="80" zoomScalePageLayoutView="0" workbookViewId="0" topLeftCell="A1">
      <selection activeCell="B5" sqref="A5:B6"/>
    </sheetView>
  </sheetViews>
  <sheetFormatPr defaultColWidth="9.140625" defaultRowHeight="12.75"/>
  <cols>
    <col min="1" max="1" width="24.28125" style="208" customWidth="1"/>
    <col min="2" max="2" width="73.7109375" style="192" customWidth="1"/>
    <col min="3" max="3" width="18.421875" style="9" hidden="1" customWidth="1"/>
    <col min="4" max="4" width="14.57421875" style="41" hidden="1" customWidth="1"/>
    <col min="5" max="17" width="17.57421875" style="42" customWidth="1"/>
    <col min="18" max="18" width="7.00390625" style="3" hidden="1" customWidth="1"/>
    <col min="19" max="19" width="15.7109375" style="3" hidden="1" customWidth="1"/>
    <col min="20" max="21" width="15.7109375" style="3" customWidth="1"/>
    <col min="22" max="22" width="15.8515625" style="3" customWidth="1"/>
    <col min="23" max="16384" width="9.140625" style="3" customWidth="1"/>
  </cols>
  <sheetData>
    <row r="2" spans="1:17" s="1" customFormat="1" ht="19.5">
      <c r="A2" s="266" t="s">
        <v>317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4" ht="19.5" thickBot="1">
      <c r="P4" s="43" t="s">
        <v>3</v>
      </c>
    </row>
    <row r="5" spans="1:17" ht="36" customHeight="1">
      <c r="A5" s="267" t="s">
        <v>216</v>
      </c>
      <c r="B5" s="255" t="s">
        <v>60</v>
      </c>
      <c r="C5" s="270" t="s">
        <v>213</v>
      </c>
      <c r="D5" s="271"/>
      <c r="E5" s="271"/>
      <c r="F5" s="271"/>
      <c r="G5" s="271"/>
      <c r="H5" s="272"/>
      <c r="I5" s="273" t="s">
        <v>308</v>
      </c>
      <c r="J5" s="275" t="s">
        <v>309</v>
      </c>
      <c r="K5" s="275" t="s">
        <v>310</v>
      </c>
      <c r="L5" s="276" t="s">
        <v>311</v>
      </c>
      <c r="M5" s="275" t="s">
        <v>312</v>
      </c>
      <c r="N5" s="275" t="s">
        <v>313</v>
      </c>
      <c r="O5" s="276" t="s">
        <v>314</v>
      </c>
      <c r="P5" s="275" t="s">
        <v>315</v>
      </c>
      <c r="Q5" s="275" t="s">
        <v>316</v>
      </c>
    </row>
    <row r="6" spans="1:17" s="5" customFormat="1" ht="45.75" customHeight="1">
      <c r="A6" s="268"/>
      <c r="B6" s="269"/>
      <c r="C6" s="10" t="s">
        <v>17</v>
      </c>
      <c r="D6" s="39" t="s">
        <v>18</v>
      </c>
      <c r="E6" s="10" t="s">
        <v>215</v>
      </c>
      <c r="F6" s="10" t="s">
        <v>299</v>
      </c>
      <c r="G6" s="10" t="s">
        <v>300</v>
      </c>
      <c r="H6" s="10" t="s">
        <v>301</v>
      </c>
      <c r="I6" s="274"/>
      <c r="J6" s="274"/>
      <c r="K6" s="274"/>
      <c r="L6" s="277"/>
      <c r="M6" s="274"/>
      <c r="N6" s="274"/>
      <c r="O6" s="277"/>
      <c r="P6" s="274"/>
      <c r="Q6" s="274"/>
    </row>
    <row r="7" spans="1:17" s="5" customFormat="1" ht="19.5">
      <c r="A7" s="187">
        <v>1</v>
      </c>
      <c r="B7" s="193">
        <v>2</v>
      </c>
      <c r="C7" s="11">
        <v>3</v>
      </c>
      <c r="D7" s="44"/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 t="s">
        <v>333</v>
      </c>
      <c r="K7" s="11" t="s">
        <v>322</v>
      </c>
      <c r="L7" s="11">
        <v>10</v>
      </c>
      <c r="M7" s="11" t="s">
        <v>334</v>
      </c>
      <c r="N7" s="11" t="s">
        <v>323</v>
      </c>
      <c r="O7" s="11">
        <v>13</v>
      </c>
      <c r="P7" s="11" t="s">
        <v>335</v>
      </c>
      <c r="Q7" s="11" t="s">
        <v>326</v>
      </c>
    </row>
    <row r="8" spans="1:22" s="134" customFormat="1" ht="20.25">
      <c r="A8" s="126" t="s">
        <v>61</v>
      </c>
      <c r="B8" s="138" t="s">
        <v>62</v>
      </c>
      <c r="C8" s="127">
        <f aca="true" t="shared" si="0" ref="C8:H8">C9+C10+C11+C12+C15+C19+C20+C21</f>
        <v>41508.4</v>
      </c>
      <c r="D8" s="128">
        <f t="shared" si="0"/>
        <v>35881.1</v>
      </c>
      <c r="E8" s="130">
        <f t="shared" si="0"/>
        <v>57290.8</v>
      </c>
      <c r="F8" s="130">
        <f t="shared" si="0"/>
        <v>50609.5</v>
      </c>
      <c r="G8" s="130">
        <f t="shared" si="0"/>
        <v>50695.7</v>
      </c>
      <c r="H8" s="130">
        <f t="shared" si="0"/>
        <v>51842.2</v>
      </c>
      <c r="I8" s="129">
        <f aca="true" t="shared" si="1" ref="I8:I39">F8/T8</f>
        <v>0.0744156235240976</v>
      </c>
      <c r="J8" s="129">
        <f>F8/E8</f>
        <v>0.8833791812996152</v>
      </c>
      <c r="K8" s="130">
        <f>F8-E8</f>
        <v>-6681.300000000003</v>
      </c>
      <c r="L8" s="129">
        <f aca="true" t="shared" si="2" ref="L8:L39">G8/U8</f>
        <v>0.08106030758840001</v>
      </c>
      <c r="M8" s="129">
        <f>G8/F8</f>
        <v>1.001703237534455</v>
      </c>
      <c r="N8" s="130">
        <f>G8-F8</f>
        <v>86.19999999999709</v>
      </c>
      <c r="O8" s="129">
        <f aca="true" t="shared" si="3" ref="O8:O39">H8/V8</f>
        <v>0.08068315060558041</v>
      </c>
      <c r="P8" s="129">
        <f>H8/G8</f>
        <v>1.0226153302942853</v>
      </c>
      <c r="Q8" s="130">
        <f>H8-G8</f>
        <v>1146.5</v>
      </c>
      <c r="R8" s="131">
        <f>F8/615135*100</f>
        <v>8.227380981410585</v>
      </c>
      <c r="S8" s="131">
        <f>F8/E8*100</f>
        <v>88.33791812996152</v>
      </c>
      <c r="T8" s="132">
        <v>680092.4</v>
      </c>
      <c r="U8" s="133">
        <v>625407.2</v>
      </c>
      <c r="V8" s="133">
        <v>642540.6</v>
      </c>
    </row>
    <row r="9" spans="1:22" s="204" customFormat="1" ht="39">
      <c r="A9" s="207" t="s">
        <v>63</v>
      </c>
      <c r="B9" s="19" t="s">
        <v>336</v>
      </c>
      <c r="C9" s="14">
        <v>962.1</v>
      </c>
      <c r="D9" s="45">
        <v>0</v>
      </c>
      <c r="E9" s="123">
        <f>1755</f>
        <v>1755</v>
      </c>
      <c r="F9" s="217">
        <f>1560</f>
        <v>1560</v>
      </c>
      <c r="G9" s="217">
        <f>1619.3</f>
        <v>1619.3</v>
      </c>
      <c r="H9" s="217">
        <f>1680.8</f>
        <v>1680.8</v>
      </c>
      <c r="I9" s="218">
        <f t="shared" si="1"/>
        <v>0.002293805959307882</v>
      </c>
      <c r="J9" s="218">
        <f aca="true" t="shared" si="4" ref="J9:J74">F9/E9</f>
        <v>0.8888888888888888</v>
      </c>
      <c r="K9" s="219">
        <f aca="true" t="shared" si="5" ref="K9:K74">F9-E9</f>
        <v>-195</v>
      </c>
      <c r="L9" s="218">
        <f t="shared" si="2"/>
        <v>0.002589193088918708</v>
      </c>
      <c r="M9" s="218">
        <f aca="true" t="shared" si="6" ref="M9:M74">G9/F9</f>
        <v>1.0380128205128205</v>
      </c>
      <c r="N9" s="219">
        <f aca="true" t="shared" si="7" ref="N9:N74">G9-F9</f>
        <v>59.299999999999955</v>
      </c>
      <c r="O9" s="218">
        <f t="shared" si="3"/>
        <v>0.0026158658301125254</v>
      </c>
      <c r="P9" s="218">
        <f aca="true" t="shared" si="8" ref="P9:P74">H9/G9</f>
        <v>1.0379793738034953</v>
      </c>
      <c r="Q9" s="219">
        <f aca="true" t="shared" si="9" ref="Q9:Q74">H9-G9</f>
        <v>61.5</v>
      </c>
      <c r="R9" s="220">
        <f aca="true" t="shared" si="10" ref="R9:R76">F9/615135*100</f>
        <v>0.2536028676631959</v>
      </c>
      <c r="T9" s="205">
        <v>680092.4</v>
      </c>
      <c r="U9" s="206">
        <v>625407.2</v>
      </c>
      <c r="V9" s="206">
        <v>642540.6</v>
      </c>
    </row>
    <row r="10" spans="1:22" s="204" customFormat="1" ht="21" hidden="1">
      <c r="A10" s="207" t="s">
        <v>65</v>
      </c>
      <c r="B10" s="19" t="s">
        <v>66</v>
      </c>
      <c r="C10" s="14">
        <v>1684.4</v>
      </c>
      <c r="D10" s="45">
        <v>580.8</v>
      </c>
      <c r="E10" s="123">
        <f>0</f>
        <v>0</v>
      </c>
      <c r="F10" s="123">
        <f>0</f>
        <v>0</v>
      </c>
      <c r="G10" s="123">
        <f>0</f>
        <v>0</v>
      </c>
      <c r="H10" s="123">
        <f>0</f>
        <v>0</v>
      </c>
      <c r="I10" s="218">
        <f t="shared" si="1"/>
        <v>0</v>
      </c>
      <c r="J10" s="218" t="e">
        <f t="shared" si="4"/>
        <v>#DIV/0!</v>
      </c>
      <c r="K10" s="219">
        <f t="shared" si="5"/>
        <v>0</v>
      </c>
      <c r="L10" s="218">
        <f t="shared" si="2"/>
        <v>0</v>
      </c>
      <c r="M10" s="218" t="e">
        <f t="shared" si="6"/>
        <v>#DIV/0!</v>
      </c>
      <c r="N10" s="219">
        <f t="shared" si="7"/>
        <v>0</v>
      </c>
      <c r="O10" s="218">
        <f t="shared" si="3"/>
        <v>0</v>
      </c>
      <c r="P10" s="218" t="e">
        <f t="shared" si="8"/>
        <v>#DIV/0!</v>
      </c>
      <c r="Q10" s="219">
        <f t="shared" si="9"/>
        <v>0</v>
      </c>
      <c r="R10" s="220">
        <f t="shared" si="10"/>
        <v>0</v>
      </c>
      <c r="T10" s="205">
        <v>680092.4</v>
      </c>
      <c r="U10" s="206">
        <v>625407.2</v>
      </c>
      <c r="V10" s="206">
        <v>642540.6</v>
      </c>
    </row>
    <row r="11" spans="1:22" s="204" customFormat="1" ht="21" hidden="1">
      <c r="A11" s="207"/>
      <c r="B11" s="19"/>
      <c r="C11" s="14">
        <v>0</v>
      </c>
      <c r="D11" s="45">
        <v>0</v>
      </c>
      <c r="E11" s="123"/>
      <c r="F11" s="123"/>
      <c r="G11" s="123"/>
      <c r="H11" s="123"/>
      <c r="I11" s="218">
        <f t="shared" si="1"/>
        <v>0</v>
      </c>
      <c r="J11" s="218" t="e">
        <f t="shared" si="4"/>
        <v>#DIV/0!</v>
      </c>
      <c r="K11" s="219">
        <f t="shared" si="5"/>
        <v>0</v>
      </c>
      <c r="L11" s="218">
        <f t="shared" si="2"/>
        <v>0</v>
      </c>
      <c r="M11" s="218" t="e">
        <f t="shared" si="6"/>
        <v>#DIV/0!</v>
      </c>
      <c r="N11" s="219">
        <f t="shared" si="7"/>
        <v>0</v>
      </c>
      <c r="O11" s="218">
        <f t="shared" si="3"/>
        <v>0</v>
      </c>
      <c r="P11" s="218" t="e">
        <f t="shared" si="8"/>
        <v>#DIV/0!</v>
      </c>
      <c r="Q11" s="219">
        <f t="shared" si="9"/>
        <v>0</v>
      </c>
      <c r="R11" s="220">
        <f t="shared" si="10"/>
        <v>0</v>
      </c>
      <c r="T11" s="205">
        <v>680092.4</v>
      </c>
      <c r="U11" s="206">
        <v>625407.2</v>
      </c>
      <c r="V11" s="206">
        <v>642540.6</v>
      </c>
    </row>
    <row r="12" spans="1:22" s="204" customFormat="1" ht="27" customHeight="1">
      <c r="A12" s="207" t="s">
        <v>67</v>
      </c>
      <c r="B12" s="19" t="s">
        <v>337</v>
      </c>
      <c r="C12" s="14">
        <v>19510.1</v>
      </c>
      <c r="D12" s="45">
        <v>19152.2</v>
      </c>
      <c r="E12" s="123">
        <f>25866.6-1755</f>
        <v>24111.6</v>
      </c>
      <c r="F12" s="123">
        <v>24456.5</v>
      </c>
      <c r="G12" s="123">
        <f>25337.1-500</f>
        <v>24837.1</v>
      </c>
      <c r="H12" s="123">
        <f>26251.4-1000</f>
        <v>25251.4</v>
      </c>
      <c r="I12" s="218">
        <f t="shared" si="1"/>
        <v>0.03596055477167514</v>
      </c>
      <c r="J12" s="218">
        <f t="shared" si="4"/>
        <v>1.0143043182534548</v>
      </c>
      <c r="K12" s="219">
        <f t="shared" si="5"/>
        <v>344.90000000000146</v>
      </c>
      <c r="L12" s="218">
        <f t="shared" si="2"/>
        <v>0.039713485869686184</v>
      </c>
      <c r="M12" s="218">
        <f t="shared" si="6"/>
        <v>1.0155623249442889</v>
      </c>
      <c r="N12" s="219">
        <f t="shared" si="7"/>
        <v>380.59999999999854</v>
      </c>
      <c r="O12" s="218">
        <f t="shared" si="3"/>
        <v>0.03929930653409295</v>
      </c>
      <c r="P12" s="218">
        <f t="shared" si="8"/>
        <v>1.0166806913850652</v>
      </c>
      <c r="Q12" s="219">
        <f t="shared" si="9"/>
        <v>414.3000000000029</v>
      </c>
      <c r="R12" s="220">
        <f t="shared" si="10"/>
        <v>3.9757939314134294</v>
      </c>
      <c r="T12" s="205">
        <v>680092.4</v>
      </c>
      <c r="U12" s="206">
        <v>625407.2</v>
      </c>
      <c r="V12" s="206">
        <v>642540.6</v>
      </c>
    </row>
    <row r="13" spans="1:22" s="204" customFormat="1" ht="21" hidden="1">
      <c r="A13" s="207"/>
      <c r="B13" s="19" t="s">
        <v>68</v>
      </c>
      <c r="C13" s="14"/>
      <c r="D13" s="45"/>
      <c r="E13" s="123"/>
      <c r="F13" s="123"/>
      <c r="G13" s="123"/>
      <c r="H13" s="123"/>
      <c r="I13" s="218">
        <f t="shared" si="1"/>
        <v>0</v>
      </c>
      <c r="J13" s="218" t="e">
        <f t="shared" si="4"/>
        <v>#DIV/0!</v>
      </c>
      <c r="K13" s="219">
        <f t="shared" si="5"/>
        <v>0</v>
      </c>
      <c r="L13" s="218">
        <f t="shared" si="2"/>
        <v>0</v>
      </c>
      <c r="M13" s="218" t="e">
        <f t="shared" si="6"/>
        <v>#DIV/0!</v>
      </c>
      <c r="N13" s="219">
        <f t="shared" si="7"/>
        <v>0</v>
      </c>
      <c r="O13" s="218">
        <f t="shared" si="3"/>
        <v>0</v>
      </c>
      <c r="P13" s="218" t="e">
        <f t="shared" si="8"/>
        <v>#DIV/0!</v>
      </c>
      <c r="Q13" s="219">
        <f t="shared" si="9"/>
        <v>0</v>
      </c>
      <c r="R13" s="220">
        <f t="shared" si="10"/>
        <v>0</v>
      </c>
      <c r="T13" s="205">
        <v>680092.4</v>
      </c>
      <c r="U13" s="206">
        <v>625407.2</v>
      </c>
      <c r="V13" s="206">
        <v>642540.6</v>
      </c>
    </row>
    <row r="14" spans="1:22" s="204" customFormat="1" ht="21" hidden="1">
      <c r="A14" s="207"/>
      <c r="B14" s="19" t="s">
        <v>69</v>
      </c>
      <c r="C14" s="14"/>
      <c r="D14" s="45">
        <v>919.6</v>
      </c>
      <c r="E14" s="123">
        <f>0</f>
        <v>0</v>
      </c>
      <c r="F14" s="123">
        <f>0</f>
        <v>0</v>
      </c>
      <c r="G14" s="123">
        <f>0</f>
        <v>0</v>
      </c>
      <c r="H14" s="123">
        <f>0</f>
        <v>0</v>
      </c>
      <c r="I14" s="218">
        <f t="shared" si="1"/>
        <v>0</v>
      </c>
      <c r="J14" s="218" t="e">
        <f t="shared" si="4"/>
        <v>#DIV/0!</v>
      </c>
      <c r="K14" s="219">
        <f t="shared" si="5"/>
        <v>0</v>
      </c>
      <c r="L14" s="218">
        <f t="shared" si="2"/>
        <v>0</v>
      </c>
      <c r="M14" s="218" t="e">
        <f t="shared" si="6"/>
        <v>#DIV/0!</v>
      </c>
      <c r="N14" s="219">
        <f t="shared" si="7"/>
        <v>0</v>
      </c>
      <c r="O14" s="218">
        <f t="shared" si="3"/>
        <v>0</v>
      </c>
      <c r="P14" s="218" t="e">
        <f t="shared" si="8"/>
        <v>#DIV/0!</v>
      </c>
      <c r="Q14" s="219">
        <f t="shared" si="9"/>
        <v>0</v>
      </c>
      <c r="R14" s="220">
        <f t="shared" si="10"/>
        <v>0</v>
      </c>
      <c r="T14" s="205">
        <v>680092.4</v>
      </c>
      <c r="U14" s="206">
        <v>625407.2</v>
      </c>
      <c r="V14" s="206">
        <v>642540.6</v>
      </c>
    </row>
    <row r="15" spans="1:22" s="204" customFormat="1" ht="39">
      <c r="A15" s="207" t="s">
        <v>70</v>
      </c>
      <c r="B15" s="19" t="s">
        <v>338</v>
      </c>
      <c r="C15" s="14">
        <f aca="true" t="shared" si="11" ref="C15:H15">C16+C17+C18</f>
        <v>7118.4</v>
      </c>
      <c r="D15" s="45">
        <f t="shared" si="11"/>
        <v>6460.5</v>
      </c>
      <c r="E15" s="123">
        <f t="shared" si="11"/>
        <v>7181.3</v>
      </c>
      <c r="F15" s="123">
        <f t="shared" si="11"/>
        <v>7485.2</v>
      </c>
      <c r="G15" s="123">
        <f t="shared" si="11"/>
        <v>7750.6</v>
      </c>
      <c r="H15" s="123">
        <f t="shared" si="11"/>
        <v>8025.9</v>
      </c>
      <c r="I15" s="218">
        <f t="shared" si="1"/>
        <v>0.011006151517058563</v>
      </c>
      <c r="J15" s="218">
        <f t="shared" si="4"/>
        <v>1.0423182432150166</v>
      </c>
      <c r="K15" s="219">
        <f t="shared" si="5"/>
        <v>303.89999999999964</v>
      </c>
      <c r="L15" s="218">
        <f t="shared" si="2"/>
        <v>0.012392885787052022</v>
      </c>
      <c r="M15" s="218">
        <f t="shared" si="6"/>
        <v>1.035456634425266</v>
      </c>
      <c r="N15" s="219">
        <f t="shared" si="7"/>
        <v>265.40000000000055</v>
      </c>
      <c r="O15" s="218">
        <f t="shared" si="3"/>
        <v>0.012490883844538383</v>
      </c>
      <c r="P15" s="218">
        <f t="shared" si="8"/>
        <v>1.0355198307227826</v>
      </c>
      <c r="Q15" s="219">
        <f t="shared" si="9"/>
        <v>275.2999999999993</v>
      </c>
      <c r="R15" s="220">
        <f t="shared" si="10"/>
        <v>1.216838580149073</v>
      </c>
      <c r="T15" s="205">
        <v>680092.4</v>
      </c>
      <c r="U15" s="206">
        <v>625407.2</v>
      </c>
      <c r="V15" s="206">
        <v>642540.6</v>
      </c>
    </row>
    <row r="16" spans="1:22" ht="45.75" customHeight="1">
      <c r="A16" s="200"/>
      <c r="B16" s="121" t="s">
        <v>71</v>
      </c>
      <c r="C16" s="118">
        <v>7118.4</v>
      </c>
      <c r="D16" s="45">
        <f>406.5+90.7+5303.2</f>
        <v>5800.4</v>
      </c>
      <c r="E16" s="119">
        <f>6472.8</f>
        <v>6472.8</v>
      </c>
      <c r="F16" s="119">
        <v>7078</v>
      </c>
      <c r="G16" s="119">
        <v>7328.5</v>
      </c>
      <c r="H16" s="119">
        <v>7588.4</v>
      </c>
      <c r="I16" s="124">
        <f t="shared" si="1"/>
        <v>0.010407409346141788</v>
      </c>
      <c r="J16" s="124">
        <f t="shared" si="4"/>
        <v>1.0934989494500063</v>
      </c>
      <c r="K16" s="125">
        <f t="shared" si="5"/>
        <v>605.1999999999998</v>
      </c>
      <c r="L16" s="124">
        <f t="shared" si="2"/>
        <v>0.011717965511110203</v>
      </c>
      <c r="M16" s="124">
        <f t="shared" si="6"/>
        <v>1.0353913534896864</v>
      </c>
      <c r="N16" s="125">
        <f t="shared" si="7"/>
        <v>250.5</v>
      </c>
      <c r="O16" s="124">
        <f t="shared" si="3"/>
        <v>0.011809993018340008</v>
      </c>
      <c r="P16" s="124">
        <f t="shared" si="8"/>
        <v>1.0354642832776146</v>
      </c>
      <c r="Q16" s="125">
        <f t="shared" si="9"/>
        <v>259.89999999999964</v>
      </c>
      <c r="R16" s="120">
        <f t="shared" si="10"/>
        <v>1.1506417290513464</v>
      </c>
      <c r="T16" s="114">
        <v>680092.4</v>
      </c>
      <c r="U16" s="115">
        <v>625407.2</v>
      </c>
      <c r="V16" s="115">
        <v>642540.6</v>
      </c>
    </row>
    <row r="17" spans="1:22" ht="29.25" customHeight="1" hidden="1">
      <c r="A17" s="200"/>
      <c r="B17" s="121" t="s">
        <v>72</v>
      </c>
      <c r="C17" s="118"/>
      <c r="D17" s="45"/>
      <c r="E17" s="119"/>
      <c r="F17" s="119"/>
      <c r="G17" s="119"/>
      <c r="H17" s="119"/>
      <c r="I17" s="124">
        <f t="shared" si="1"/>
        <v>0</v>
      </c>
      <c r="J17" s="124" t="e">
        <f t="shared" si="4"/>
        <v>#DIV/0!</v>
      </c>
      <c r="K17" s="125">
        <f t="shared" si="5"/>
        <v>0</v>
      </c>
      <c r="L17" s="124">
        <f t="shared" si="2"/>
        <v>0</v>
      </c>
      <c r="M17" s="124" t="e">
        <f t="shared" si="6"/>
        <v>#DIV/0!</v>
      </c>
      <c r="N17" s="125">
        <f t="shared" si="7"/>
        <v>0</v>
      </c>
      <c r="O17" s="124">
        <f t="shared" si="3"/>
        <v>0</v>
      </c>
      <c r="P17" s="124" t="e">
        <f t="shared" si="8"/>
        <v>#DIV/0!</v>
      </c>
      <c r="Q17" s="125">
        <f t="shared" si="9"/>
        <v>0</v>
      </c>
      <c r="R17" s="120">
        <f t="shared" si="10"/>
        <v>0</v>
      </c>
      <c r="T17" s="114">
        <v>680092.4</v>
      </c>
      <c r="U17" s="115">
        <v>625407.2</v>
      </c>
      <c r="V17" s="115">
        <v>642540.6</v>
      </c>
    </row>
    <row r="18" spans="1:22" ht="42" customHeight="1">
      <c r="A18" s="200"/>
      <c r="B18" s="121" t="s">
        <v>339</v>
      </c>
      <c r="C18" s="118"/>
      <c r="D18" s="45">
        <f>660.1</f>
        <v>660.1</v>
      </c>
      <c r="E18" s="119">
        <f>708.5</f>
        <v>708.5</v>
      </c>
      <c r="F18" s="119">
        <v>407.2</v>
      </c>
      <c r="G18" s="119">
        <v>422.1</v>
      </c>
      <c r="H18" s="119">
        <v>437.5</v>
      </c>
      <c r="I18" s="124">
        <f t="shared" si="1"/>
        <v>0.0005987421709167754</v>
      </c>
      <c r="J18" s="124">
        <f t="shared" si="4"/>
        <v>0.5747353563867326</v>
      </c>
      <c r="K18" s="125">
        <f t="shared" si="5"/>
        <v>-301.3</v>
      </c>
      <c r="L18" s="124">
        <f t="shared" si="2"/>
        <v>0.0006749202759418185</v>
      </c>
      <c r="M18" s="124">
        <f t="shared" si="6"/>
        <v>1.0365913555992143</v>
      </c>
      <c r="N18" s="125">
        <f t="shared" si="7"/>
        <v>14.900000000000034</v>
      </c>
      <c r="O18" s="124">
        <f t="shared" si="3"/>
        <v>0.0006808908261983756</v>
      </c>
      <c r="P18" s="124">
        <f t="shared" si="8"/>
        <v>1.0364842454394692</v>
      </c>
      <c r="Q18" s="125">
        <f t="shared" si="9"/>
        <v>15.399999999999977</v>
      </c>
      <c r="R18" s="120">
        <f t="shared" si="10"/>
        <v>0.06619685109772651</v>
      </c>
      <c r="T18" s="114">
        <v>680092.4</v>
      </c>
      <c r="U18" s="115">
        <v>625407.2</v>
      </c>
      <c r="V18" s="115">
        <v>642540.6</v>
      </c>
    </row>
    <row r="19" spans="1:22" ht="27" customHeight="1" hidden="1">
      <c r="A19" s="207" t="s">
        <v>74</v>
      </c>
      <c r="B19" s="19" t="s">
        <v>75</v>
      </c>
      <c r="C19" s="14">
        <v>0</v>
      </c>
      <c r="D19" s="45">
        <v>0</v>
      </c>
      <c r="E19" s="28">
        <v>0</v>
      </c>
      <c r="F19" s="28">
        <v>0</v>
      </c>
      <c r="G19" s="28">
        <v>0</v>
      </c>
      <c r="H19" s="28">
        <v>0</v>
      </c>
      <c r="I19" s="116">
        <f t="shared" si="1"/>
        <v>0</v>
      </c>
      <c r="J19" s="116" t="e">
        <f t="shared" si="4"/>
        <v>#DIV/0!</v>
      </c>
      <c r="K19" s="47">
        <f t="shared" si="5"/>
        <v>0</v>
      </c>
      <c r="L19" s="116">
        <f t="shared" si="2"/>
        <v>0</v>
      </c>
      <c r="M19" s="116" t="e">
        <f t="shared" si="6"/>
        <v>#DIV/0!</v>
      </c>
      <c r="N19" s="47">
        <f t="shared" si="7"/>
        <v>0</v>
      </c>
      <c r="O19" s="116">
        <f t="shared" si="3"/>
        <v>0</v>
      </c>
      <c r="P19" s="116" t="e">
        <f t="shared" si="8"/>
        <v>#DIV/0!</v>
      </c>
      <c r="Q19" s="47">
        <f t="shared" si="9"/>
        <v>0</v>
      </c>
      <c r="R19" s="30">
        <f t="shared" si="10"/>
        <v>0</v>
      </c>
      <c r="T19" s="114">
        <v>680092.4</v>
      </c>
      <c r="U19" s="115">
        <v>625407.2</v>
      </c>
      <c r="V19" s="115">
        <v>642540.6</v>
      </c>
    </row>
    <row r="20" spans="1:22" s="204" customFormat="1" ht="25.5" customHeight="1">
      <c r="A20" s="207" t="s">
        <v>76</v>
      </c>
      <c r="B20" s="19" t="s">
        <v>77</v>
      </c>
      <c r="C20" s="14">
        <v>1300</v>
      </c>
      <c r="D20" s="45">
        <v>300</v>
      </c>
      <c r="E20" s="123">
        <f>500</f>
        <v>500</v>
      </c>
      <c r="F20" s="123">
        <f>500</f>
        <v>500</v>
      </c>
      <c r="G20" s="123">
        <f>500</f>
        <v>500</v>
      </c>
      <c r="H20" s="123">
        <f>500</f>
        <v>500</v>
      </c>
      <c r="I20" s="218">
        <f t="shared" si="1"/>
        <v>0.0007351942177268853</v>
      </c>
      <c r="J20" s="218">
        <f t="shared" si="4"/>
        <v>1</v>
      </c>
      <c r="K20" s="219">
        <f t="shared" si="5"/>
        <v>0</v>
      </c>
      <c r="L20" s="218">
        <f t="shared" si="2"/>
        <v>0.0007994791233615475</v>
      </c>
      <c r="M20" s="218">
        <f t="shared" si="6"/>
        <v>1</v>
      </c>
      <c r="N20" s="219">
        <f t="shared" si="7"/>
        <v>0</v>
      </c>
      <c r="O20" s="218">
        <f t="shared" si="3"/>
        <v>0.000778160944226715</v>
      </c>
      <c r="P20" s="218">
        <f t="shared" si="8"/>
        <v>1</v>
      </c>
      <c r="Q20" s="219">
        <f t="shared" si="9"/>
        <v>0</v>
      </c>
      <c r="R20" s="220">
        <f t="shared" si="10"/>
        <v>0.08128297040487048</v>
      </c>
      <c r="T20" s="205">
        <v>680092.4</v>
      </c>
      <c r="U20" s="206">
        <v>625407.2</v>
      </c>
      <c r="V20" s="206">
        <v>642540.6</v>
      </c>
    </row>
    <row r="21" spans="1:22" s="204" customFormat="1" ht="27" customHeight="1">
      <c r="A21" s="207" t="s">
        <v>78</v>
      </c>
      <c r="B21" s="19" t="s">
        <v>79</v>
      </c>
      <c r="C21" s="14">
        <f>C24++C26+C27+C28+C29+C30+C31+C32+C34</f>
        <v>10933.4</v>
      </c>
      <c r="D21" s="45">
        <f>D24++D26+D27+D29+D30+D31+D32+D34</f>
        <v>9387.6</v>
      </c>
      <c r="E21" s="123">
        <f>E24++E26+E27+E29+E30+E31+E32+E34+E35</f>
        <v>23742.9</v>
      </c>
      <c r="F21" s="123">
        <f>F24+F26+F27+F29+F30+F31+F32+F34+F35</f>
        <v>16607.8</v>
      </c>
      <c r="G21" s="123">
        <f>G24++G26+G27+G29+G30+G31+G32+G34+G35</f>
        <v>15988.7</v>
      </c>
      <c r="H21" s="123">
        <f>H24++H26+H27+H29+H30+H31+H32+H34+H35</f>
        <v>16384.1</v>
      </c>
      <c r="I21" s="218">
        <f t="shared" si="1"/>
        <v>0.024419917058329133</v>
      </c>
      <c r="J21" s="218">
        <f t="shared" si="4"/>
        <v>0.6994848986433838</v>
      </c>
      <c r="K21" s="219">
        <f t="shared" si="5"/>
        <v>-7135.100000000002</v>
      </c>
      <c r="L21" s="218">
        <f t="shared" si="2"/>
        <v>0.025565263719381552</v>
      </c>
      <c r="M21" s="218">
        <f t="shared" si="6"/>
        <v>0.9627223352882381</v>
      </c>
      <c r="N21" s="219">
        <f t="shared" si="7"/>
        <v>-619.0999999999985</v>
      </c>
      <c r="O21" s="218">
        <f t="shared" si="3"/>
        <v>0.02549893345260984</v>
      </c>
      <c r="P21" s="218">
        <f t="shared" si="8"/>
        <v>1.0247299655381612</v>
      </c>
      <c r="Q21" s="219">
        <f t="shared" si="9"/>
        <v>395.3999999999978</v>
      </c>
      <c r="R21" s="220">
        <f t="shared" si="10"/>
        <v>2.6998626317800154</v>
      </c>
      <c r="T21" s="205">
        <v>680092.4</v>
      </c>
      <c r="U21" s="206">
        <v>625407.2</v>
      </c>
      <c r="V21" s="206">
        <v>642540.6</v>
      </c>
    </row>
    <row r="22" spans="1:22" ht="39" hidden="1">
      <c r="A22" s="207"/>
      <c r="B22" s="19" t="s">
        <v>318</v>
      </c>
      <c r="C22" s="14"/>
      <c r="D22" s="45"/>
      <c r="E22" s="28">
        <v>0</v>
      </c>
      <c r="F22" s="28"/>
      <c r="G22" s="28"/>
      <c r="H22" s="28"/>
      <c r="I22" s="116" t="e">
        <f t="shared" si="1"/>
        <v>#DIV/0!</v>
      </c>
      <c r="J22" s="116" t="e">
        <f t="shared" si="4"/>
        <v>#DIV/0!</v>
      </c>
      <c r="K22" s="47">
        <f t="shared" si="5"/>
        <v>0</v>
      </c>
      <c r="L22" s="116" t="e">
        <f t="shared" si="2"/>
        <v>#DIV/0!</v>
      </c>
      <c r="M22" s="116" t="e">
        <f t="shared" si="6"/>
        <v>#DIV/0!</v>
      </c>
      <c r="N22" s="47">
        <f t="shared" si="7"/>
        <v>0</v>
      </c>
      <c r="O22" s="116" t="e">
        <f t="shared" si="3"/>
        <v>#DIV/0!</v>
      </c>
      <c r="P22" s="116" t="e">
        <f t="shared" si="8"/>
        <v>#DIV/0!</v>
      </c>
      <c r="Q22" s="47">
        <f t="shared" si="9"/>
        <v>0</v>
      </c>
      <c r="R22" s="30"/>
      <c r="T22" s="114"/>
      <c r="U22" s="115"/>
      <c r="V22" s="115"/>
    </row>
    <row r="23" spans="1:22" ht="39" hidden="1">
      <c r="A23" s="207"/>
      <c r="B23" s="19" t="s">
        <v>319</v>
      </c>
      <c r="C23" s="14"/>
      <c r="D23" s="45"/>
      <c r="E23" s="28">
        <v>0</v>
      </c>
      <c r="F23" s="28"/>
      <c r="G23" s="28"/>
      <c r="H23" s="28"/>
      <c r="I23" s="116" t="e">
        <f t="shared" si="1"/>
        <v>#DIV/0!</v>
      </c>
      <c r="J23" s="116" t="e">
        <f t="shared" si="4"/>
        <v>#DIV/0!</v>
      </c>
      <c r="K23" s="47">
        <f t="shared" si="5"/>
        <v>0</v>
      </c>
      <c r="L23" s="116" t="e">
        <f t="shared" si="2"/>
        <v>#DIV/0!</v>
      </c>
      <c r="M23" s="116" t="e">
        <f t="shared" si="6"/>
        <v>#DIV/0!</v>
      </c>
      <c r="N23" s="47">
        <f t="shared" si="7"/>
        <v>0</v>
      </c>
      <c r="O23" s="116" t="e">
        <f t="shared" si="3"/>
        <v>#DIV/0!</v>
      </c>
      <c r="P23" s="116" t="e">
        <f t="shared" si="8"/>
        <v>#DIV/0!</v>
      </c>
      <c r="Q23" s="47">
        <f t="shared" si="9"/>
        <v>0</v>
      </c>
      <c r="R23" s="30"/>
      <c r="T23" s="114"/>
      <c r="U23" s="115"/>
      <c r="V23" s="115"/>
    </row>
    <row r="24" spans="1:22" ht="66.75" customHeight="1">
      <c r="A24" s="200"/>
      <c r="B24" s="121" t="s">
        <v>340</v>
      </c>
      <c r="C24" s="118">
        <f>6890-490</f>
        <v>6400</v>
      </c>
      <c r="D24" s="45">
        <f>4662.5</f>
        <v>4662.5</v>
      </c>
      <c r="E24" s="119">
        <f>5238.8</f>
        <v>5238.8</v>
      </c>
      <c r="F24" s="119">
        <v>6717</v>
      </c>
      <c r="G24" s="119">
        <v>6836.1</v>
      </c>
      <c r="H24" s="119">
        <v>6959.8</v>
      </c>
      <c r="I24" s="124">
        <f t="shared" si="1"/>
        <v>0.009876599120942978</v>
      </c>
      <c r="J24" s="124">
        <f t="shared" si="4"/>
        <v>1.2821638543177827</v>
      </c>
      <c r="K24" s="125">
        <f t="shared" si="5"/>
        <v>1478.1999999999998</v>
      </c>
      <c r="L24" s="124">
        <f t="shared" si="2"/>
        <v>0.010930638470423752</v>
      </c>
      <c r="M24" s="124">
        <f t="shared" si="6"/>
        <v>1.0177311299687362</v>
      </c>
      <c r="N24" s="125">
        <f t="shared" si="7"/>
        <v>119.10000000000036</v>
      </c>
      <c r="O24" s="124">
        <f t="shared" si="3"/>
        <v>0.010831689079258184</v>
      </c>
      <c r="P24" s="124">
        <f t="shared" si="8"/>
        <v>1.0180951127104636</v>
      </c>
      <c r="Q24" s="125">
        <f t="shared" si="9"/>
        <v>123.69999999999982</v>
      </c>
      <c r="R24" s="120">
        <f t="shared" si="10"/>
        <v>1.09195542441903</v>
      </c>
      <c r="T24" s="114">
        <v>680092.4</v>
      </c>
      <c r="U24" s="115">
        <v>625407.2</v>
      </c>
      <c r="V24" s="115">
        <v>642540.6</v>
      </c>
    </row>
    <row r="25" spans="1:22" ht="20.25">
      <c r="A25" s="200"/>
      <c r="B25" s="195" t="s">
        <v>80</v>
      </c>
      <c r="C25" s="118"/>
      <c r="D25" s="45">
        <v>44.1</v>
      </c>
      <c r="E25" s="40">
        <f>12</f>
        <v>12</v>
      </c>
      <c r="F25" s="40">
        <f>12</f>
        <v>12</v>
      </c>
      <c r="G25" s="40">
        <f>12</f>
        <v>12</v>
      </c>
      <c r="H25" s="40">
        <f>12</f>
        <v>12</v>
      </c>
      <c r="I25" s="124">
        <f t="shared" si="1"/>
        <v>1.7644661225445246E-05</v>
      </c>
      <c r="J25" s="124">
        <f t="shared" si="4"/>
        <v>1</v>
      </c>
      <c r="K25" s="125">
        <f t="shared" si="5"/>
        <v>0</v>
      </c>
      <c r="L25" s="124">
        <f t="shared" si="2"/>
        <v>1.9187498960677142E-05</v>
      </c>
      <c r="M25" s="124">
        <f t="shared" si="6"/>
        <v>1</v>
      </c>
      <c r="N25" s="125">
        <f t="shared" si="7"/>
        <v>0</v>
      </c>
      <c r="O25" s="124">
        <f t="shared" si="3"/>
        <v>1.8675862661441162E-05</v>
      </c>
      <c r="P25" s="124">
        <f t="shared" si="8"/>
        <v>1</v>
      </c>
      <c r="Q25" s="125">
        <f t="shared" si="9"/>
        <v>0</v>
      </c>
      <c r="R25" s="120">
        <f t="shared" si="10"/>
        <v>0.0019507912897168914</v>
      </c>
      <c r="T25" s="114">
        <v>680092.4</v>
      </c>
      <c r="U25" s="115">
        <v>625407.2</v>
      </c>
      <c r="V25" s="115">
        <v>642540.6</v>
      </c>
    </row>
    <row r="26" spans="1:22" ht="75" hidden="1">
      <c r="A26" s="200"/>
      <c r="B26" s="121" t="s">
        <v>81</v>
      </c>
      <c r="C26" s="118">
        <f>490</f>
        <v>490</v>
      </c>
      <c r="D26" s="45">
        <v>0</v>
      </c>
      <c r="E26" s="119">
        <v>0</v>
      </c>
      <c r="F26" s="119">
        <v>0</v>
      </c>
      <c r="G26" s="119">
        <v>0</v>
      </c>
      <c r="H26" s="119">
        <v>0</v>
      </c>
      <c r="I26" s="124">
        <f t="shared" si="1"/>
        <v>0</v>
      </c>
      <c r="J26" s="124" t="e">
        <f t="shared" si="4"/>
        <v>#DIV/0!</v>
      </c>
      <c r="K26" s="125">
        <f t="shared" si="5"/>
        <v>0</v>
      </c>
      <c r="L26" s="124">
        <f t="shared" si="2"/>
        <v>0</v>
      </c>
      <c r="M26" s="124" t="e">
        <f t="shared" si="6"/>
        <v>#DIV/0!</v>
      </c>
      <c r="N26" s="125">
        <f t="shared" si="7"/>
        <v>0</v>
      </c>
      <c r="O26" s="124">
        <f t="shared" si="3"/>
        <v>0</v>
      </c>
      <c r="P26" s="124" t="e">
        <f t="shared" si="8"/>
        <v>#DIV/0!</v>
      </c>
      <c r="Q26" s="125">
        <f t="shared" si="9"/>
        <v>0</v>
      </c>
      <c r="R26" s="120">
        <f t="shared" si="10"/>
        <v>0</v>
      </c>
      <c r="T26" s="114">
        <v>680092.4</v>
      </c>
      <c r="U26" s="115">
        <v>625407.2</v>
      </c>
      <c r="V26" s="115">
        <v>642540.6</v>
      </c>
    </row>
    <row r="27" spans="1:22" ht="52.5" customHeight="1">
      <c r="A27" s="200"/>
      <c r="B27" s="121" t="s">
        <v>341</v>
      </c>
      <c r="C27" s="118">
        <f>1903</f>
        <v>1903</v>
      </c>
      <c r="D27" s="45">
        <f>1587.7</f>
        <v>1587.7</v>
      </c>
      <c r="E27" s="119">
        <f>2552</f>
        <v>2552</v>
      </c>
      <c r="F27" s="119">
        <v>3374</v>
      </c>
      <c r="G27" s="119">
        <v>3498.1</v>
      </c>
      <c r="H27" s="119">
        <v>3626.8</v>
      </c>
      <c r="I27" s="124">
        <f t="shared" si="1"/>
        <v>0.004961090581221022</v>
      </c>
      <c r="J27" s="124">
        <f t="shared" si="4"/>
        <v>1.3221003134796239</v>
      </c>
      <c r="K27" s="125">
        <f t="shared" si="5"/>
        <v>822</v>
      </c>
      <c r="L27" s="124">
        <f t="shared" si="2"/>
        <v>0.0055933158428620585</v>
      </c>
      <c r="M27" s="124">
        <f t="shared" si="6"/>
        <v>1.036781268524007</v>
      </c>
      <c r="N27" s="125">
        <f t="shared" si="7"/>
        <v>124.09999999999991</v>
      </c>
      <c r="O27" s="124">
        <f t="shared" si="3"/>
        <v>0.005644468225042901</v>
      </c>
      <c r="P27" s="124">
        <f t="shared" si="8"/>
        <v>1.0367914010462824</v>
      </c>
      <c r="Q27" s="125">
        <f t="shared" si="9"/>
        <v>128.70000000000027</v>
      </c>
      <c r="R27" s="120">
        <f t="shared" si="10"/>
        <v>0.5484974842920659</v>
      </c>
      <c r="T27" s="114">
        <v>680092.4</v>
      </c>
      <c r="U27" s="115">
        <v>625407.2</v>
      </c>
      <c r="V27" s="115">
        <v>642540.6</v>
      </c>
    </row>
    <row r="28" spans="1:22" ht="20.25" hidden="1">
      <c r="A28" s="200"/>
      <c r="B28" s="195" t="s">
        <v>80</v>
      </c>
      <c r="C28" s="118"/>
      <c r="D28" s="45">
        <v>1</v>
      </c>
      <c r="E28" s="40">
        <f>0</f>
        <v>0</v>
      </c>
      <c r="F28" s="40">
        <f>0</f>
        <v>0</v>
      </c>
      <c r="G28" s="40">
        <f>0</f>
        <v>0</v>
      </c>
      <c r="H28" s="40">
        <f>0</f>
        <v>0</v>
      </c>
      <c r="I28" s="124">
        <f t="shared" si="1"/>
        <v>0</v>
      </c>
      <c r="J28" s="124" t="e">
        <f t="shared" si="4"/>
        <v>#DIV/0!</v>
      </c>
      <c r="K28" s="125">
        <f t="shared" si="5"/>
        <v>0</v>
      </c>
      <c r="L28" s="124">
        <f t="shared" si="2"/>
        <v>0</v>
      </c>
      <c r="M28" s="124" t="e">
        <f t="shared" si="6"/>
        <v>#DIV/0!</v>
      </c>
      <c r="N28" s="125">
        <f t="shared" si="7"/>
        <v>0</v>
      </c>
      <c r="O28" s="124">
        <f t="shared" si="3"/>
        <v>0</v>
      </c>
      <c r="P28" s="124" t="e">
        <f t="shared" si="8"/>
        <v>#DIV/0!</v>
      </c>
      <c r="Q28" s="125">
        <f t="shared" si="9"/>
        <v>0</v>
      </c>
      <c r="R28" s="120">
        <f t="shared" si="10"/>
        <v>0</v>
      </c>
      <c r="T28" s="114">
        <v>680092.4</v>
      </c>
      <c r="U28" s="115">
        <v>625407.2</v>
      </c>
      <c r="V28" s="115">
        <v>642540.6</v>
      </c>
    </row>
    <row r="29" spans="1:22" ht="47.25" customHeight="1">
      <c r="A29" s="200"/>
      <c r="B29" s="121" t="s">
        <v>342</v>
      </c>
      <c r="C29" s="118">
        <f>57.9</f>
        <v>57.9</v>
      </c>
      <c r="D29" s="40">
        <f>0</f>
        <v>0</v>
      </c>
      <c r="E29" s="119">
        <f>60</f>
        <v>60</v>
      </c>
      <c r="F29" s="119">
        <v>50</v>
      </c>
      <c r="G29" s="119">
        <v>50</v>
      </c>
      <c r="H29" s="119">
        <v>50</v>
      </c>
      <c r="I29" s="124">
        <f t="shared" si="1"/>
        <v>7.351942177268854E-05</v>
      </c>
      <c r="J29" s="124">
        <f t="shared" si="4"/>
        <v>0.8333333333333334</v>
      </c>
      <c r="K29" s="125">
        <f t="shared" si="5"/>
        <v>-10</v>
      </c>
      <c r="L29" s="124">
        <f t="shared" si="2"/>
        <v>7.994791233615476E-05</v>
      </c>
      <c r="M29" s="124">
        <f t="shared" si="6"/>
        <v>1</v>
      </c>
      <c r="N29" s="125">
        <f t="shared" si="7"/>
        <v>0</v>
      </c>
      <c r="O29" s="124">
        <f t="shared" si="3"/>
        <v>7.78160944226715E-05</v>
      </c>
      <c r="P29" s="124">
        <f t="shared" si="8"/>
        <v>1</v>
      </c>
      <c r="Q29" s="125">
        <f t="shared" si="9"/>
        <v>0</v>
      </c>
      <c r="R29" s="120">
        <f t="shared" si="10"/>
        <v>0.008128297040487047</v>
      </c>
      <c r="T29" s="114">
        <v>680092.4</v>
      </c>
      <c r="U29" s="115">
        <v>625407.2</v>
      </c>
      <c r="V29" s="115">
        <v>642540.6</v>
      </c>
    </row>
    <row r="30" spans="1:22" ht="37.5">
      <c r="A30" s="200"/>
      <c r="B30" s="121" t="s">
        <v>318</v>
      </c>
      <c r="C30" s="118"/>
      <c r="D30" s="45"/>
      <c r="E30" s="119">
        <v>0</v>
      </c>
      <c r="F30" s="119">
        <v>263.3</v>
      </c>
      <c r="G30" s="119">
        <v>263.3</v>
      </c>
      <c r="H30" s="119">
        <v>263.3</v>
      </c>
      <c r="I30" s="124">
        <f t="shared" si="1"/>
        <v>0.0003871532750549778</v>
      </c>
      <c r="J30" s="124" t="e">
        <f t="shared" si="4"/>
        <v>#DIV/0!</v>
      </c>
      <c r="K30" s="125">
        <f t="shared" si="5"/>
        <v>263.3</v>
      </c>
      <c r="L30" s="124">
        <f t="shared" si="2"/>
        <v>0.000421005706362191</v>
      </c>
      <c r="M30" s="124">
        <f t="shared" si="6"/>
        <v>1</v>
      </c>
      <c r="N30" s="125">
        <f t="shared" si="7"/>
        <v>0</v>
      </c>
      <c r="O30" s="124">
        <f t="shared" si="3"/>
        <v>0.00040977955322978813</v>
      </c>
      <c r="P30" s="124">
        <f t="shared" si="8"/>
        <v>1</v>
      </c>
      <c r="Q30" s="125">
        <f t="shared" si="9"/>
        <v>0</v>
      </c>
      <c r="R30" s="120">
        <f t="shared" si="10"/>
        <v>0.042803612215204796</v>
      </c>
      <c r="T30" s="114">
        <v>680092.4</v>
      </c>
      <c r="U30" s="115">
        <v>625407.2</v>
      </c>
      <c r="V30" s="115">
        <v>642540.6</v>
      </c>
    </row>
    <row r="31" spans="1:22" ht="37.5">
      <c r="A31" s="200"/>
      <c r="B31" s="121" t="s">
        <v>343</v>
      </c>
      <c r="C31" s="118"/>
      <c r="D31" s="45"/>
      <c r="E31" s="119">
        <v>0</v>
      </c>
      <c r="F31" s="119">
        <v>200</v>
      </c>
      <c r="G31" s="119">
        <v>200</v>
      </c>
      <c r="H31" s="119">
        <v>200</v>
      </c>
      <c r="I31" s="124">
        <f t="shared" si="1"/>
        <v>0.00029407768709075415</v>
      </c>
      <c r="J31" s="124" t="e">
        <f t="shared" si="4"/>
        <v>#DIV/0!</v>
      </c>
      <c r="K31" s="125">
        <f t="shared" si="5"/>
        <v>200</v>
      </c>
      <c r="L31" s="124">
        <f t="shared" si="2"/>
        <v>0.000319791649344619</v>
      </c>
      <c r="M31" s="124">
        <f t="shared" si="6"/>
        <v>1</v>
      </c>
      <c r="N31" s="125">
        <f t="shared" si="7"/>
        <v>0</v>
      </c>
      <c r="O31" s="124">
        <f t="shared" si="3"/>
        <v>0.000311264377690686</v>
      </c>
      <c r="P31" s="124">
        <f t="shared" si="8"/>
        <v>1</v>
      </c>
      <c r="Q31" s="125">
        <f t="shared" si="9"/>
        <v>0</v>
      </c>
      <c r="R31" s="120">
        <f t="shared" si="10"/>
        <v>0.03251318816194819</v>
      </c>
      <c r="T31" s="114">
        <v>680092.4</v>
      </c>
      <c r="U31" s="115">
        <v>625407.2</v>
      </c>
      <c r="V31" s="115">
        <v>642540.6</v>
      </c>
    </row>
    <row r="32" spans="1:22" ht="37.5">
      <c r="A32" s="200"/>
      <c r="B32" s="121" t="s">
        <v>344</v>
      </c>
      <c r="C32" s="118">
        <f>2082.5-110</f>
        <v>1972.5</v>
      </c>
      <c r="D32" s="45">
        <v>3017.4</v>
      </c>
      <c r="E32" s="119">
        <f>4692.1-500</f>
        <v>4192.1</v>
      </c>
      <c r="F32" s="119">
        <v>4003.5</v>
      </c>
      <c r="G32" s="119">
        <v>4141.2</v>
      </c>
      <c r="H32" s="119">
        <v>4284.2</v>
      </c>
      <c r="I32" s="124">
        <f t="shared" si="1"/>
        <v>0.0058867001013391705</v>
      </c>
      <c r="J32" s="124">
        <f t="shared" si="4"/>
        <v>0.9550106152047899</v>
      </c>
      <c r="K32" s="125">
        <f t="shared" si="5"/>
        <v>-188.60000000000036</v>
      </c>
      <c r="L32" s="124">
        <f t="shared" si="2"/>
        <v>0.006621605891329681</v>
      </c>
      <c r="M32" s="124">
        <f t="shared" si="6"/>
        <v>1.0343949044585987</v>
      </c>
      <c r="N32" s="125">
        <f t="shared" si="7"/>
        <v>137.69999999999982</v>
      </c>
      <c r="O32" s="124">
        <f t="shared" si="3"/>
        <v>0.006667594234512185</v>
      </c>
      <c r="P32" s="124">
        <f t="shared" si="8"/>
        <v>1.0345310538008308</v>
      </c>
      <c r="Q32" s="125">
        <f t="shared" si="9"/>
        <v>143</v>
      </c>
      <c r="R32" s="120">
        <f t="shared" si="10"/>
        <v>0.6508327440317979</v>
      </c>
      <c r="T32" s="114">
        <v>680092.4</v>
      </c>
      <c r="U32" s="115">
        <v>625407.2</v>
      </c>
      <c r="V32" s="115">
        <v>642540.6</v>
      </c>
    </row>
    <row r="33" spans="1:22" ht="37.5">
      <c r="A33" s="278"/>
      <c r="B33" s="196" t="s">
        <v>84</v>
      </c>
      <c r="C33" s="118"/>
      <c r="D33" s="45">
        <v>599.7</v>
      </c>
      <c r="E33" s="119">
        <f>592.9</f>
        <v>592.9</v>
      </c>
      <c r="F33" s="119">
        <v>594.6</v>
      </c>
      <c r="G33" s="119">
        <v>614.5</v>
      </c>
      <c r="H33" s="119">
        <v>635.2</v>
      </c>
      <c r="I33" s="124">
        <f t="shared" si="1"/>
        <v>0.0008742929637208121</v>
      </c>
      <c r="J33" s="124">
        <f t="shared" si="4"/>
        <v>1.0028672626075223</v>
      </c>
      <c r="K33" s="125">
        <f t="shared" si="5"/>
        <v>1.7000000000000455</v>
      </c>
      <c r="L33" s="124">
        <f t="shared" si="2"/>
        <v>0.0009825598426113418</v>
      </c>
      <c r="M33" s="124">
        <f t="shared" si="6"/>
        <v>1.0334678775647494</v>
      </c>
      <c r="N33" s="125">
        <f t="shared" si="7"/>
        <v>19.899999999999977</v>
      </c>
      <c r="O33" s="124">
        <f t="shared" si="3"/>
        <v>0.0009885756635456188</v>
      </c>
      <c r="P33" s="124">
        <f t="shared" si="8"/>
        <v>1.033685923515053</v>
      </c>
      <c r="Q33" s="125">
        <f t="shared" si="9"/>
        <v>20.700000000000045</v>
      </c>
      <c r="R33" s="120">
        <f t="shared" si="10"/>
        <v>0.09666170840547197</v>
      </c>
      <c r="T33" s="114">
        <v>680092.4</v>
      </c>
      <c r="U33" s="115">
        <v>625407.2</v>
      </c>
      <c r="V33" s="115">
        <v>642540.6</v>
      </c>
    </row>
    <row r="34" spans="1:22" ht="56.25" hidden="1">
      <c r="A34" s="279"/>
      <c r="B34" s="195" t="s">
        <v>85</v>
      </c>
      <c r="C34" s="118">
        <f>110</f>
        <v>110</v>
      </c>
      <c r="D34" s="45">
        <v>120</v>
      </c>
      <c r="E34" s="119">
        <v>0</v>
      </c>
      <c r="F34" s="119">
        <v>0</v>
      </c>
      <c r="G34" s="119">
        <v>0</v>
      </c>
      <c r="H34" s="119">
        <v>0</v>
      </c>
      <c r="I34" s="124">
        <f t="shared" si="1"/>
        <v>0</v>
      </c>
      <c r="J34" s="124" t="e">
        <f t="shared" si="4"/>
        <v>#DIV/0!</v>
      </c>
      <c r="K34" s="125">
        <f t="shared" si="5"/>
        <v>0</v>
      </c>
      <c r="L34" s="124">
        <f t="shared" si="2"/>
        <v>0</v>
      </c>
      <c r="M34" s="124" t="e">
        <f t="shared" si="6"/>
        <v>#DIV/0!</v>
      </c>
      <c r="N34" s="125">
        <f t="shared" si="7"/>
        <v>0</v>
      </c>
      <c r="O34" s="124">
        <f t="shared" si="3"/>
        <v>0</v>
      </c>
      <c r="P34" s="124" t="e">
        <f t="shared" si="8"/>
        <v>#DIV/0!</v>
      </c>
      <c r="Q34" s="125">
        <f t="shared" si="9"/>
        <v>0</v>
      </c>
      <c r="R34" s="120">
        <f t="shared" si="10"/>
        <v>0</v>
      </c>
      <c r="T34" s="114">
        <v>680092.4</v>
      </c>
      <c r="U34" s="115">
        <v>625407.2</v>
      </c>
      <c r="V34" s="115">
        <v>642540.6</v>
      </c>
    </row>
    <row r="35" spans="1:22" ht="37.5">
      <c r="A35" s="200"/>
      <c r="B35" s="195" t="s">
        <v>14</v>
      </c>
      <c r="C35" s="118"/>
      <c r="D35" s="45">
        <v>0</v>
      </c>
      <c r="E35" s="119">
        <f>200+1000+10000+500</f>
        <v>11700</v>
      </c>
      <c r="F35" s="119">
        <f>2000</f>
        <v>2000</v>
      </c>
      <c r="G35" s="119">
        <f>2000-1000</f>
        <v>1000</v>
      </c>
      <c r="H35" s="119">
        <f>2000-1000</f>
        <v>1000</v>
      </c>
      <c r="I35" s="124">
        <f t="shared" si="1"/>
        <v>0.0029407768709075414</v>
      </c>
      <c r="J35" s="124">
        <f t="shared" si="4"/>
        <v>0.17094017094017094</v>
      </c>
      <c r="K35" s="125">
        <f t="shared" si="5"/>
        <v>-9700</v>
      </c>
      <c r="L35" s="124">
        <f t="shared" si="2"/>
        <v>0.001598958246723095</v>
      </c>
      <c r="M35" s="124">
        <f t="shared" si="6"/>
        <v>0.5</v>
      </c>
      <c r="N35" s="125">
        <f t="shared" si="7"/>
        <v>-1000</v>
      </c>
      <c r="O35" s="124">
        <f t="shared" si="3"/>
        <v>0.00155632188845343</v>
      </c>
      <c r="P35" s="124">
        <f t="shared" si="8"/>
        <v>1</v>
      </c>
      <c r="Q35" s="125">
        <f t="shared" si="9"/>
        <v>0</v>
      </c>
      <c r="R35" s="120">
        <f t="shared" si="10"/>
        <v>0.3251318816194819</v>
      </c>
      <c r="T35" s="114">
        <v>680092.4</v>
      </c>
      <c r="U35" s="115">
        <v>625407.2</v>
      </c>
      <c r="V35" s="115">
        <v>642540.6</v>
      </c>
    </row>
    <row r="36" spans="1:22" s="1" customFormat="1" ht="26.25" customHeight="1" hidden="1">
      <c r="A36" s="210" t="s">
        <v>86</v>
      </c>
      <c r="B36" s="19" t="s">
        <v>87</v>
      </c>
      <c r="C36" s="12">
        <f aca="true" t="shared" si="12" ref="C36:H36">C37</f>
        <v>811.8</v>
      </c>
      <c r="D36" s="46">
        <f t="shared" si="12"/>
        <v>966</v>
      </c>
      <c r="E36" s="47">
        <f t="shared" si="12"/>
        <v>0</v>
      </c>
      <c r="F36" s="47">
        <f t="shared" si="12"/>
        <v>0</v>
      </c>
      <c r="G36" s="47">
        <f t="shared" si="12"/>
        <v>0</v>
      </c>
      <c r="H36" s="47">
        <f t="shared" si="12"/>
        <v>0</v>
      </c>
      <c r="I36" s="116">
        <f t="shared" si="1"/>
        <v>0</v>
      </c>
      <c r="J36" s="116" t="e">
        <f t="shared" si="4"/>
        <v>#DIV/0!</v>
      </c>
      <c r="K36" s="47">
        <f t="shared" si="5"/>
        <v>0</v>
      </c>
      <c r="L36" s="116">
        <f t="shared" si="2"/>
        <v>0</v>
      </c>
      <c r="M36" s="116" t="e">
        <f t="shared" si="6"/>
        <v>#DIV/0!</v>
      </c>
      <c r="N36" s="47">
        <f t="shared" si="7"/>
        <v>0</v>
      </c>
      <c r="O36" s="116">
        <f t="shared" si="3"/>
        <v>0</v>
      </c>
      <c r="P36" s="116" t="e">
        <f t="shared" si="8"/>
        <v>#DIV/0!</v>
      </c>
      <c r="Q36" s="47">
        <f t="shared" si="9"/>
        <v>0</v>
      </c>
      <c r="R36" s="30">
        <f t="shared" si="10"/>
        <v>0</v>
      </c>
      <c r="T36" s="114">
        <v>680092.4</v>
      </c>
      <c r="U36" s="115">
        <v>625407.2</v>
      </c>
      <c r="V36" s="115">
        <v>642540.6</v>
      </c>
    </row>
    <row r="37" spans="1:22" ht="39" hidden="1">
      <c r="A37" s="207" t="s">
        <v>88</v>
      </c>
      <c r="B37" s="19" t="s">
        <v>89</v>
      </c>
      <c r="C37" s="14">
        <f>811.8</f>
        <v>811.8</v>
      </c>
      <c r="D37" s="45">
        <v>966</v>
      </c>
      <c r="E37" s="28">
        <f>0</f>
        <v>0</v>
      </c>
      <c r="F37" s="28">
        <f>0</f>
        <v>0</v>
      </c>
      <c r="G37" s="28">
        <f>0</f>
        <v>0</v>
      </c>
      <c r="H37" s="28">
        <f>0</f>
        <v>0</v>
      </c>
      <c r="I37" s="116">
        <f t="shared" si="1"/>
        <v>0</v>
      </c>
      <c r="J37" s="116" t="e">
        <f t="shared" si="4"/>
        <v>#DIV/0!</v>
      </c>
      <c r="K37" s="47">
        <f t="shared" si="5"/>
        <v>0</v>
      </c>
      <c r="L37" s="116">
        <f t="shared" si="2"/>
        <v>0</v>
      </c>
      <c r="M37" s="116" t="e">
        <f t="shared" si="6"/>
        <v>#DIV/0!</v>
      </c>
      <c r="N37" s="47">
        <f t="shared" si="7"/>
        <v>0</v>
      </c>
      <c r="O37" s="116">
        <f t="shared" si="3"/>
        <v>0</v>
      </c>
      <c r="P37" s="116" t="e">
        <f t="shared" si="8"/>
        <v>#DIV/0!</v>
      </c>
      <c r="Q37" s="47">
        <f t="shared" si="9"/>
        <v>0</v>
      </c>
      <c r="R37" s="30">
        <f t="shared" si="10"/>
        <v>0</v>
      </c>
      <c r="T37" s="114">
        <v>680092.4</v>
      </c>
      <c r="U37" s="115">
        <v>625407.2</v>
      </c>
      <c r="V37" s="115">
        <v>642540.6</v>
      </c>
    </row>
    <row r="38" spans="1:22" s="134" customFormat="1" ht="53.25" customHeight="1">
      <c r="A38" s="126" t="s">
        <v>90</v>
      </c>
      <c r="B38" s="138" t="s">
        <v>345</v>
      </c>
      <c r="C38" s="127">
        <f aca="true" t="shared" si="13" ref="C38:H38">C39+C46</f>
        <v>400</v>
      </c>
      <c r="D38" s="128">
        <f t="shared" si="13"/>
        <v>0</v>
      </c>
      <c r="E38" s="130">
        <f t="shared" si="13"/>
        <v>200</v>
      </c>
      <c r="F38" s="130">
        <f t="shared" si="13"/>
        <v>200</v>
      </c>
      <c r="G38" s="130">
        <f t="shared" si="13"/>
        <v>200</v>
      </c>
      <c r="H38" s="130">
        <f t="shared" si="13"/>
        <v>200</v>
      </c>
      <c r="I38" s="129">
        <f t="shared" si="1"/>
        <v>0.00029407768709075415</v>
      </c>
      <c r="J38" s="129">
        <f t="shared" si="4"/>
        <v>1</v>
      </c>
      <c r="K38" s="130">
        <f t="shared" si="5"/>
        <v>0</v>
      </c>
      <c r="L38" s="129">
        <f t="shared" si="2"/>
        <v>0.000319791649344619</v>
      </c>
      <c r="M38" s="129">
        <f t="shared" si="6"/>
        <v>1</v>
      </c>
      <c r="N38" s="130">
        <f t="shared" si="7"/>
        <v>0</v>
      </c>
      <c r="O38" s="129">
        <f t="shared" si="3"/>
        <v>0.000311264377690686</v>
      </c>
      <c r="P38" s="129">
        <f t="shared" si="8"/>
        <v>1</v>
      </c>
      <c r="Q38" s="130">
        <f t="shared" si="9"/>
        <v>0</v>
      </c>
      <c r="R38" s="131">
        <f t="shared" si="10"/>
        <v>0.03251318816194819</v>
      </c>
      <c r="S38" s="131">
        <f>F38/E38*100</f>
        <v>100</v>
      </c>
      <c r="T38" s="132">
        <v>680092.4</v>
      </c>
      <c r="U38" s="133">
        <v>625407.2</v>
      </c>
      <c r="V38" s="133">
        <v>642540.6</v>
      </c>
    </row>
    <row r="39" spans="1:22" s="204" customFormat="1" ht="39">
      <c r="A39" s="207" t="s">
        <v>91</v>
      </c>
      <c r="B39" s="19" t="s">
        <v>92</v>
      </c>
      <c r="C39" s="14">
        <f>SUM(C41:C45)</f>
        <v>400</v>
      </c>
      <c r="D39" s="45">
        <f>SUM(D41:D45)</f>
        <v>0</v>
      </c>
      <c r="E39" s="123">
        <f>200</f>
        <v>200</v>
      </c>
      <c r="F39" s="123">
        <f>200</f>
        <v>200</v>
      </c>
      <c r="G39" s="123">
        <f>200</f>
        <v>200</v>
      </c>
      <c r="H39" s="123">
        <f>200</f>
        <v>200</v>
      </c>
      <c r="I39" s="218">
        <f t="shared" si="1"/>
        <v>0.00029407768709075415</v>
      </c>
      <c r="J39" s="218">
        <f t="shared" si="4"/>
        <v>1</v>
      </c>
      <c r="K39" s="219">
        <f t="shared" si="5"/>
        <v>0</v>
      </c>
      <c r="L39" s="218">
        <f t="shared" si="2"/>
        <v>0.000319791649344619</v>
      </c>
      <c r="M39" s="218">
        <f t="shared" si="6"/>
        <v>1</v>
      </c>
      <c r="N39" s="219">
        <f t="shared" si="7"/>
        <v>0</v>
      </c>
      <c r="O39" s="218">
        <f t="shared" si="3"/>
        <v>0.000311264377690686</v>
      </c>
      <c r="P39" s="218">
        <f t="shared" si="8"/>
        <v>1</v>
      </c>
      <c r="Q39" s="219">
        <f t="shared" si="9"/>
        <v>0</v>
      </c>
      <c r="R39" s="220">
        <f t="shared" si="10"/>
        <v>0.03251318816194819</v>
      </c>
      <c r="T39" s="205">
        <v>680092.4</v>
      </c>
      <c r="U39" s="206">
        <v>625407.2</v>
      </c>
      <c r="V39" s="206">
        <v>642540.6</v>
      </c>
    </row>
    <row r="40" spans="1:22" ht="21" hidden="1">
      <c r="A40" s="207"/>
      <c r="B40" s="19" t="s">
        <v>93</v>
      </c>
      <c r="C40" s="14"/>
      <c r="D40" s="45"/>
      <c r="E40" s="28"/>
      <c r="F40" s="28"/>
      <c r="G40" s="28"/>
      <c r="H40" s="28"/>
      <c r="I40" s="116">
        <f aca="true" t="shared" si="14" ref="I40:I71">F40/T40</f>
        <v>0</v>
      </c>
      <c r="J40" s="116" t="e">
        <f t="shared" si="4"/>
        <v>#DIV/0!</v>
      </c>
      <c r="K40" s="47">
        <f t="shared" si="5"/>
        <v>0</v>
      </c>
      <c r="L40" s="116">
        <f aca="true" t="shared" si="15" ref="L40:L71">G40/U40</f>
        <v>0</v>
      </c>
      <c r="M40" s="116" t="e">
        <f t="shared" si="6"/>
        <v>#DIV/0!</v>
      </c>
      <c r="N40" s="47">
        <f t="shared" si="7"/>
        <v>0</v>
      </c>
      <c r="O40" s="116">
        <f aca="true" t="shared" si="16" ref="O40:O71">H40/V40</f>
        <v>0</v>
      </c>
      <c r="P40" s="116" t="e">
        <f t="shared" si="8"/>
        <v>#DIV/0!</v>
      </c>
      <c r="Q40" s="47">
        <f t="shared" si="9"/>
        <v>0</v>
      </c>
      <c r="R40" s="30">
        <f t="shared" si="10"/>
        <v>0</v>
      </c>
      <c r="T40" s="114">
        <v>680092.4</v>
      </c>
      <c r="U40" s="115">
        <v>625407.2</v>
      </c>
      <c r="V40" s="115">
        <v>642540.6</v>
      </c>
    </row>
    <row r="41" spans="1:22" ht="121.5" customHeight="1">
      <c r="A41" s="200"/>
      <c r="B41" s="121" t="s">
        <v>346</v>
      </c>
      <c r="C41" s="118">
        <f>100</f>
        <v>100</v>
      </c>
      <c r="D41" s="45">
        <v>0</v>
      </c>
      <c r="E41" s="119">
        <f>200</f>
        <v>200</v>
      </c>
      <c r="F41" s="119">
        <f>200</f>
        <v>200</v>
      </c>
      <c r="G41" s="119">
        <f>200</f>
        <v>200</v>
      </c>
      <c r="H41" s="119">
        <f>200</f>
        <v>200</v>
      </c>
      <c r="I41" s="124">
        <f t="shared" si="14"/>
        <v>0.00029407768709075415</v>
      </c>
      <c r="J41" s="124">
        <f t="shared" si="4"/>
        <v>1</v>
      </c>
      <c r="K41" s="125">
        <f t="shared" si="5"/>
        <v>0</v>
      </c>
      <c r="L41" s="124">
        <f t="shared" si="15"/>
        <v>0.000319791649344619</v>
      </c>
      <c r="M41" s="124">
        <f t="shared" si="6"/>
        <v>1</v>
      </c>
      <c r="N41" s="125">
        <f t="shared" si="7"/>
        <v>0</v>
      </c>
      <c r="O41" s="124">
        <f t="shared" si="16"/>
        <v>0.000311264377690686</v>
      </c>
      <c r="P41" s="124">
        <f t="shared" si="8"/>
        <v>1</v>
      </c>
      <c r="Q41" s="125">
        <f t="shared" si="9"/>
        <v>0</v>
      </c>
      <c r="R41" s="120">
        <f t="shared" si="10"/>
        <v>0.03251318816194819</v>
      </c>
      <c r="T41" s="114">
        <v>680092.4</v>
      </c>
      <c r="U41" s="115">
        <v>625407.2</v>
      </c>
      <c r="V41" s="115">
        <v>642540.6</v>
      </c>
    </row>
    <row r="42" spans="1:22" ht="39" hidden="1">
      <c r="A42" s="207"/>
      <c r="B42" s="19" t="s">
        <v>94</v>
      </c>
      <c r="C42" s="14">
        <f>100</f>
        <v>100</v>
      </c>
      <c r="D42" s="45">
        <v>0</v>
      </c>
      <c r="E42" s="28">
        <v>0</v>
      </c>
      <c r="F42" s="28">
        <v>0</v>
      </c>
      <c r="G42" s="28">
        <v>0</v>
      </c>
      <c r="H42" s="28">
        <v>0</v>
      </c>
      <c r="I42" s="116">
        <f t="shared" si="14"/>
        <v>0</v>
      </c>
      <c r="J42" s="116" t="e">
        <f t="shared" si="4"/>
        <v>#DIV/0!</v>
      </c>
      <c r="K42" s="47">
        <f t="shared" si="5"/>
        <v>0</v>
      </c>
      <c r="L42" s="116">
        <f t="shared" si="15"/>
        <v>0</v>
      </c>
      <c r="M42" s="116" t="e">
        <f t="shared" si="6"/>
        <v>#DIV/0!</v>
      </c>
      <c r="N42" s="47">
        <f t="shared" si="7"/>
        <v>0</v>
      </c>
      <c r="O42" s="116">
        <f t="shared" si="16"/>
        <v>0</v>
      </c>
      <c r="P42" s="116" t="e">
        <f t="shared" si="8"/>
        <v>#DIV/0!</v>
      </c>
      <c r="Q42" s="47">
        <f t="shared" si="9"/>
        <v>0</v>
      </c>
      <c r="R42" s="30">
        <f t="shared" si="10"/>
        <v>0</v>
      </c>
      <c r="T42" s="114">
        <v>680092.4</v>
      </c>
      <c r="U42" s="115">
        <v>625407.2</v>
      </c>
      <c r="V42" s="115">
        <v>642540.6</v>
      </c>
    </row>
    <row r="43" spans="1:22" ht="39" hidden="1">
      <c r="A43" s="207"/>
      <c r="B43" s="19" t="s">
        <v>95</v>
      </c>
      <c r="C43" s="14">
        <f>200</f>
        <v>200</v>
      </c>
      <c r="D43" s="45">
        <v>0</v>
      </c>
      <c r="E43" s="28">
        <v>0</v>
      </c>
      <c r="F43" s="28">
        <v>0</v>
      </c>
      <c r="G43" s="28">
        <v>0</v>
      </c>
      <c r="H43" s="28">
        <v>0</v>
      </c>
      <c r="I43" s="116">
        <f t="shared" si="14"/>
        <v>0</v>
      </c>
      <c r="J43" s="116" t="e">
        <f t="shared" si="4"/>
        <v>#DIV/0!</v>
      </c>
      <c r="K43" s="47">
        <f t="shared" si="5"/>
        <v>0</v>
      </c>
      <c r="L43" s="116">
        <f t="shared" si="15"/>
        <v>0</v>
      </c>
      <c r="M43" s="116" t="e">
        <f t="shared" si="6"/>
        <v>#DIV/0!</v>
      </c>
      <c r="N43" s="47">
        <f t="shared" si="7"/>
        <v>0</v>
      </c>
      <c r="O43" s="116">
        <f t="shared" si="16"/>
        <v>0</v>
      </c>
      <c r="P43" s="116" t="e">
        <f t="shared" si="8"/>
        <v>#DIV/0!</v>
      </c>
      <c r="Q43" s="47">
        <f t="shared" si="9"/>
        <v>0</v>
      </c>
      <c r="R43" s="30">
        <f t="shared" si="10"/>
        <v>0</v>
      </c>
      <c r="T43" s="114">
        <v>680092.4</v>
      </c>
      <c r="U43" s="115">
        <v>625407.2</v>
      </c>
      <c r="V43" s="115">
        <v>642540.6</v>
      </c>
    </row>
    <row r="44" spans="1:22" ht="136.5" hidden="1">
      <c r="A44" s="207"/>
      <c r="B44" s="19" t="s">
        <v>96</v>
      </c>
      <c r="C44" s="14">
        <v>0</v>
      </c>
      <c r="D44" s="45">
        <v>0</v>
      </c>
      <c r="E44" s="28">
        <v>0</v>
      </c>
      <c r="F44" s="28">
        <v>0</v>
      </c>
      <c r="G44" s="28">
        <v>0</v>
      </c>
      <c r="H44" s="28">
        <v>0</v>
      </c>
      <c r="I44" s="116">
        <f t="shared" si="14"/>
        <v>0</v>
      </c>
      <c r="J44" s="116" t="e">
        <f t="shared" si="4"/>
        <v>#DIV/0!</v>
      </c>
      <c r="K44" s="47">
        <f t="shared" si="5"/>
        <v>0</v>
      </c>
      <c r="L44" s="116">
        <f t="shared" si="15"/>
        <v>0</v>
      </c>
      <c r="M44" s="116" t="e">
        <f t="shared" si="6"/>
        <v>#DIV/0!</v>
      </c>
      <c r="N44" s="47">
        <f t="shared" si="7"/>
        <v>0</v>
      </c>
      <c r="O44" s="116">
        <f t="shared" si="16"/>
        <v>0</v>
      </c>
      <c r="P44" s="116" t="e">
        <f t="shared" si="8"/>
        <v>#DIV/0!</v>
      </c>
      <c r="Q44" s="47">
        <f t="shared" si="9"/>
        <v>0</v>
      </c>
      <c r="R44" s="30">
        <f t="shared" si="10"/>
        <v>0</v>
      </c>
      <c r="T44" s="114">
        <v>680092.4</v>
      </c>
      <c r="U44" s="115">
        <v>625407.2</v>
      </c>
      <c r="V44" s="115">
        <v>642540.6</v>
      </c>
    </row>
    <row r="45" spans="1:22" ht="97.5" hidden="1">
      <c r="A45" s="207"/>
      <c r="B45" s="19" t="s">
        <v>97</v>
      </c>
      <c r="C45" s="14">
        <v>0</v>
      </c>
      <c r="D45" s="45">
        <v>0</v>
      </c>
      <c r="E45" s="28">
        <v>0</v>
      </c>
      <c r="F45" s="28">
        <v>0</v>
      </c>
      <c r="G45" s="28">
        <v>0</v>
      </c>
      <c r="H45" s="28">
        <v>0</v>
      </c>
      <c r="I45" s="116">
        <f t="shared" si="14"/>
        <v>0</v>
      </c>
      <c r="J45" s="116" t="e">
        <f t="shared" si="4"/>
        <v>#DIV/0!</v>
      </c>
      <c r="K45" s="47">
        <f t="shared" si="5"/>
        <v>0</v>
      </c>
      <c r="L45" s="116">
        <f t="shared" si="15"/>
        <v>0</v>
      </c>
      <c r="M45" s="116" t="e">
        <f t="shared" si="6"/>
        <v>#DIV/0!</v>
      </c>
      <c r="N45" s="47">
        <f t="shared" si="7"/>
        <v>0</v>
      </c>
      <c r="O45" s="116">
        <f t="shared" si="16"/>
        <v>0</v>
      </c>
      <c r="P45" s="116" t="e">
        <f t="shared" si="8"/>
        <v>#DIV/0!</v>
      </c>
      <c r="Q45" s="47">
        <f t="shared" si="9"/>
        <v>0</v>
      </c>
      <c r="R45" s="30">
        <f t="shared" si="10"/>
        <v>0</v>
      </c>
      <c r="T45" s="114">
        <v>680092.4</v>
      </c>
      <c r="U45" s="115">
        <v>625407.2</v>
      </c>
      <c r="V45" s="115">
        <v>642540.6</v>
      </c>
    </row>
    <row r="46" spans="1:22" ht="21" hidden="1">
      <c r="A46" s="207" t="s">
        <v>98</v>
      </c>
      <c r="B46" s="19" t="s">
        <v>99</v>
      </c>
      <c r="C46" s="14"/>
      <c r="D46" s="45"/>
      <c r="E46" s="28"/>
      <c r="F46" s="28"/>
      <c r="G46" s="28"/>
      <c r="H46" s="28"/>
      <c r="I46" s="116">
        <f t="shared" si="14"/>
        <v>0</v>
      </c>
      <c r="J46" s="116" t="e">
        <f t="shared" si="4"/>
        <v>#DIV/0!</v>
      </c>
      <c r="K46" s="47">
        <f t="shared" si="5"/>
        <v>0</v>
      </c>
      <c r="L46" s="116">
        <f t="shared" si="15"/>
        <v>0</v>
      </c>
      <c r="M46" s="116" t="e">
        <f t="shared" si="6"/>
        <v>#DIV/0!</v>
      </c>
      <c r="N46" s="47">
        <f t="shared" si="7"/>
        <v>0</v>
      </c>
      <c r="O46" s="116">
        <f t="shared" si="16"/>
        <v>0</v>
      </c>
      <c r="P46" s="116" t="e">
        <f t="shared" si="8"/>
        <v>#DIV/0!</v>
      </c>
      <c r="Q46" s="47">
        <f t="shared" si="9"/>
        <v>0</v>
      </c>
      <c r="R46" s="30">
        <f t="shared" si="10"/>
        <v>0</v>
      </c>
      <c r="T46" s="114">
        <v>680092.4</v>
      </c>
      <c r="U46" s="115">
        <v>625407.2</v>
      </c>
      <c r="V46" s="115">
        <v>642540.6</v>
      </c>
    </row>
    <row r="47" spans="1:22" ht="21" hidden="1">
      <c r="A47" s="207"/>
      <c r="B47" s="19" t="s">
        <v>100</v>
      </c>
      <c r="C47" s="14"/>
      <c r="D47" s="45"/>
      <c r="E47" s="28"/>
      <c r="F47" s="28"/>
      <c r="G47" s="28"/>
      <c r="H47" s="28"/>
      <c r="I47" s="116">
        <f t="shared" si="14"/>
        <v>0</v>
      </c>
      <c r="J47" s="116" t="e">
        <f t="shared" si="4"/>
        <v>#DIV/0!</v>
      </c>
      <c r="K47" s="47">
        <f t="shared" si="5"/>
        <v>0</v>
      </c>
      <c r="L47" s="116">
        <f t="shared" si="15"/>
        <v>0</v>
      </c>
      <c r="M47" s="116" t="e">
        <f t="shared" si="6"/>
        <v>#DIV/0!</v>
      </c>
      <c r="N47" s="47">
        <f t="shared" si="7"/>
        <v>0</v>
      </c>
      <c r="O47" s="116">
        <f t="shared" si="16"/>
        <v>0</v>
      </c>
      <c r="P47" s="116" t="e">
        <f t="shared" si="8"/>
        <v>#DIV/0!</v>
      </c>
      <c r="Q47" s="47">
        <f t="shared" si="9"/>
        <v>0</v>
      </c>
      <c r="R47" s="30">
        <f t="shared" si="10"/>
        <v>0</v>
      </c>
      <c r="T47" s="114">
        <v>680092.4</v>
      </c>
      <c r="U47" s="115">
        <v>625407.2</v>
      </c>
      <c r="V47" s="115">
        <v>642540.6</v>
      </c>
    </row>
    <row r="48" spans="1:22" s="134" customFormat="1" ht="27.75" customHeight="1">
      <c r="A48" s="126" t="s">
        <v>101</v>
      </c>
      <c r="B48" s="138" t="s">
        <v>102</v>
      </c>
      <c r="C48" s="127">
        <f>C51+C58</f>
        <v>3900</v>
      </c>
      <c r="D48" s="128">
        <f>D51+D58</f>
        <v>26119</v>
      </c>
      <c r="E48" s="130">
        <f>E49+E51+E58</f>
        <v>23682.1</v>
      </c>
      <c r="F48" s="130">
        <f>F49+F51+F58</f>
        <v>29833.300000000003</v>
      </c>
      <c r="G48" s="130">
        <f>G49+G51+G58</f>
        <v>26302.4</v>
      </c>
      <c r="H48" s="130">
        <f>H49+H51+H58</f>
        <v>23927.5</v>
      </c>
      <c r="I48" s="129">
        <f t="shared" si="14"/>
        <v>0.04386653931142298</v>
      </c>
      <c r="J48" s="129">
        <f t="shared" si="4"/>
        <v>1.2597404790960263</v>
      </c>
      <c r="K48" s="130">
        <f t="shared" si="5"/>
        <v>6151.200000000004</v>
      </c>
      <c r="L48" s="129">
        <f t="shared" si="15"/>
        <v>0.04205643938860954</v>
      </c>
      <c r="M48" s="129">
        <f t="shared" si="6"/>
        <v>0.8816456778163998</v>
      </c>
      <c r="N48" s="130">
        <f t="shared" si="7"/>
        <v>-3530.9000000000015</v>
      </c>
      <c r="O48" s="129">
        <f t="shared" si="16"/>
        <v>0.03723889198596945</v>
      </c>
      <c r="P48" s="129">
        <f t="shared" si="8"/>
        <v>0.9097078593588417</v>
      </c>
      <c r="Q48" s="130">
        <f t="shared" si="9"/>
        <v>-2374.9000000000015</v>
      </c>
      <c r="R48" s="131">
        <f t="shared" si="10"/>
        <v>4.849878481959245</v>
      </c>
      <c r="S48" s="131">
        <f>F48/E48*100</f>
        <v>125.97404790960263</v>
      </c>
      <c r="T48" s="132">
        <v>680092.4</v>
      </c>
      <c r="U48" s="133">
        <v>625407.2</v>
      </c>
      <c r="V48" s="133">
        <v>642540.6</v>
      </c>
    </row>
    <row r="49" spans="1:22" s="221" customFormat="1" ht="24" customHeight="1">
      <c r="A49" s="207" t="s">
        <v>221</v>
      </c>
      <c r="B49" s="19" t="s">
        <v>347</v>
      </c>
      <c r="C49" s="12"/>
      <c r="D49" s="194">
        <f>D50</f>
        <v>0</v>
      </c>
      <c r="E49" s="123">
        <f>E50</f>
        <v>44.6</v>
      </c>
      <c r="F49" s="123">
        <f>F50</f>
        <v>133.9</v>
      </c>
      <c r="G49" s="123">
        <f>G50</f>
        <v>133.9</v>
      </c>
      <c r="H49" s="123">
        <f>H50</f>
        <v>133.9</v>
      </c>
      <c r="I49" s="218">
        <f t="shared" si="14"/>
        <v>0.0001968850115072599</v>
      </c>
      <c r="J49" s="218">
        <f t="shared" si="4"/>
        <v>3.002242152466368</v>
      </c>
      <c r="K49" s="219">
        <f t="shared" si="5"/>
        <v>89.30000000000001</v>
      </c>
      <c r="L49" s="218">
        <f t="shared" si="15"/>
        <v>0.00021410050923622244</v>
      </c>
      <c r="M49" s="218">
        <f t="shared" si="6"/>
        <v>1</v>
      </c>
      <c r="N49" s="219">
        <f t="shared" si="7"/>
        <v>0</v>
      </c>
      <c r="O49" s="218">
        <f t="shared" si="16"/>
        <v>0.0002083915008639143</v>
      </c>
      <c r="P49" s="218">
        <f t="shared" si="8"/>
        <v>1</v>
      </c>
      <c r="Q49" s="219">
        <f t="shared" si="9"/>
        <v>0</v>
      </c>
      <c r="R49" s="220"/>
      <c r="S49" s="220"/>
      <c r="T49" s="205">
        <v>680092.4</v>
      </c>
      <c r="U49" s="206">
        <v>625407.2</v>
      </c>
      <c r="V49" s="206">
        <v>642540.6</v>
      </c>
    </row>
    <row r="50" spans="1:22" ht="56.25">
      <c r="A50" s="200"/>
      <c r="B50" s="121" t="s">
        <v>222</v>
      </c>
      <c r="C50" s="197"/>
      <c r="D50" s="46">
        <f>0</f>
        <v>0</v>
      </c>
      <c r="E50" s="119">
        <f>44.6</f>
        <v>44.6</v>
      </c>
      <c r="F50" s="119">
        <v>133.9</v>
      </c>
      <c r="G50" s="119">
        <v>133.9</v>
      </c>
      <c r="H50" s="119">
        <v>133.9</v>
      </c>
      <c r="I50" s="124">
        <f t="shared" si="14"/>
        <v>0.0001968850115072599</v>
      </c>
      <c r="J50" s="124">
        <f t="shared" si="4"/>
        <v>3.002242152466368</v>
      </c>
      <c r="K50" s="125">
        <f t="shared" si="5"/>
        <v>89.30000000000001</v>
      </c>
      <c r="L50" s="124">
        <f t="shared" si="15"/>
        <v>0.00021410050923622244</v>
      </c>
      <c r="M50" s="124">
        <f t="shared" si="6"/>
        <v>1</v>
      </c>
      <c r="N50" s="125">
        <f t="shared" si="7"/>
        <v>0</v>
      </c>
      <c r="O50" s="124">
        <f t="shared" si="16"/>
        <v>0.0002083915008639143</v>
      </c>
      <c r="P50" s="124">
        <f t="shared" si="8"/>
        <v>1</v>
      </c>
      <c r="Q50" s="125">
        <f t="shared" si="9"/>
        <v>0</v>
      </c>
      <c r="R50" s="120"/>
      <c r="S50" s="120"/>
      <c r="T50" s="114">
        <v>680092.4</v>
      </c>
      <c r="U50" s="115">
        <v>625407.2</v>
      </c>
      <c r="V50" s="115">
        <v>642540.6</v>
      </c>
    </row>
    <row r="51" spans="1:22" s="204" customFormat="1" ht="21">
      <c r="A51" s="207" t="s">
        <v>103</v>
      </c>
      <c r="B51" s="162" t="s">
        <v>104</v>
      </c>
      <c r="C51" s="14">
        <f aca="true" t="shared" si="17" ref="C51:H51">SUM(C53:C57)</f>
        <v>3700</v>
      </c>
      <c r="D51" s="45">
        <f t="shared" si="17"/>
        <v>26119</v>
      </c>
      <c r="E51" s="123">
        <f t="shared" si="17"/>
        <v>23137.5</v>
      </c>
      <c r="F51" s="123">
        <f t="shared" si="17"/>
        <v>27984.4</v>
      </c>
      <c r="G51" s="123">
        <f t="shared" si="17"/>
        <v>24953.5</v>
      </c>
      <c r="H51" s="123">
        <f t="shared" si="17"/>
        <v>23078.6</v>
      </c>
      <c r="I51" s="218">
        <f t="shared" si="14"/>
        <v>0.0411479381331125</v>
      </c>
      <c r="J51" s="218">
        <f t="shared" si="4"/>
        <v>1.2094824419232848</v>
      </c>
      <c r="K51" s="219">
        <f t="shared" si="5"/>
        <v>4846.9000000000015</v>
      </c>
      <c r="L51" s="218">
        <f t="shared" si="15"/>
        <v>0.039899604609604754</v>
      </c>
      <c r="M51" s="218">
        <f t="shared" si="6"/>
        <v>0.8916932290847758</v>
      </c>
      <c r="N51" s="219">
        <f t="shared" si="7"/>
        <v>-3030.9000000000015</v>
      </c>
      <c r="O51" s="218">
        <f t="shared" si="16"/>
        <v>0.03591773033486133</v>
      </c>
      <c r="P51" s="218">
        <f t="shared" si="8"/>
        <v>0.9248642475003506</v>
      </c>
      <c r="Q51" s="219">
        <f t="shared" si="9"/>
        <v>-1874.9000000000015</v>
      </c>
      <c r="R51" s="220">
        <f t="shared" si="10"/>
        <v>4.549310313996115</v>
      </c>
      <c r="T51" s="205">
        <v>680092.4</v>
      </c>
      <c r="U51" s="206">
        <v>625407.2</v>
      </c>
      <c r="V51" s="206">
        <v>642540.6</v>
      </c>
    </row>
    <row r="52" spans="1:22" ht="21" hidden="1">
      <c r="A52" s="207"/>
      <c r="B52" s="162" t="s">
        <v>93</v>
      </c>
      <c r="C52" s="14"/>
      <c r="D52" s="45"/>
      <c r="E52" s="28"/>
      <c r="F52" s="28"/>
      <c r="G52" s="28"/>
      <c r="H52" s="28"/>
      <c r="I52" s="116">
        <f t="shared" si="14"/>
        <v>0</v>
      </c>
      <c r="J52" s="116" t="e">
        <f t="shared" si="4"/>
        <v>#DIV/0!</v>
      </c>
      <c r="K52" s="47">
        <f t="shared" si="5"/>
        <v>0</v>
      </c>
      <c r="L52" s="116">
        <f t="shared" si="15"/>
        <v>0</v>
      </c>
      <c r="M52" s="116" t="e">
        <f t="shared" si="6"/>
        <v>#DIV/0!</v>
      </c>
      <c r="N52" s="47">
        <f t="shared" si="7"/>
        <v>0</v>
      </c>
      <c r="O52" s="116">
        <f t="shared" si="16"/>
        <v>0</v>
      </c>
      <c r="P52" s="116" t="e">
        <f t="shared" si="8"/>
        <v>#DIV/0!</v>
      </c>
      <c r="Q52" s="47">
        <f t="shared" si="9"/>
        <v>0</v>
      </c>
      <c r="R52" s="30">
        <f t="shared" si="10"/>
        <v>0</v>
      </c>
      <c r="T52" s="114">
        <v>680092.4</v>
      </c>
      <c r="U52" s="115">
        <v>625407.2</v>
      </c>
      <c r="V52" s="115">
        <v>642540.6</v>
      </c>
    </row>
    <row r="53" spans="1:22" ht="58.5" hidden="1">
      <c r="A53" s="207"/>
      <c r="B53" s="162" t="s">
        <v>209</v>
      </c>
      <c r="C53" s="14">
        <v>0</v>
      </c>
      <c r="D53" s="45">
        <f>17264</f>
        <v>17264</v>
      </c>
      <c r="E53" s="28">
        <f>0</f>
        <v>0</v>
      </c>
      <c r="F53" s="28">
        <f>0</f>
        <v>0</v>
      </c>
      <c r="G53" s="28">
        <f>0</f>
        <v>0</v>
      </c>
      <c r="H53" s="28">
        <f>0</f>
        <v>0</v>
      </c>
      <c r="I53" s="116">
        <f t="shared" si="14"/>
        <v>0</v>
      </c>
      <c r="J53" s="116" t="e">
        <f t="shared" si="4"/>
        <v>#DIV/0!</v>
      </c>
      <c r="K53" s="47">
        <f t="shared" si="5"/>
        <v>0</v>
      </c>
      <c r="L53" s="116">
        <f t="shared" si="15"/>
        <v>0</v>
      </c>
      <c r="M53" s="116" t="e">
        <f t="shared" si="6"/>
        <v>#DIV/0!</v>
      </c>
      <c r="N53" s="47">
        <f t="shared" si="7"/>
        <v>0</v>
      </c>
      <c r="O53" s="116">
        <f t="shared" si="16"/>
        <v>0</v>
      </c>
      <c r="P53" s="116" t="e">
        <f t="shared" si="8"/>
        <v>#DIV/0!</v>
      </c>
      <c r="Q53" s="47">
        <f t="shared" si="9"/>
        <v>0</v>
      </c>
      <c r="R53" s="30">
        <f t="shared" si="10"/>
        <v>0</v>
      </c>
      <c r="T53" s="114">
        <v>680092.4</v>
      </c>
      <c r="U53" s="115">
        <v>625407.2</v>
      </c>
      <c r="V53" s="115">
        <v>642540.6</v>
      </c>
    </row>
    <row r="54" spans="1:22" ht="78" hidden="1">
      <c r="A54" s="207"/>
      <c r="B54" s="162" t="s">
        <v>210</v>
      </c>
      <c r="C54" s="18">
        <v>0</v>
      </c>
      <c r="D54" s="48">
        <v>0</v>
      </c>
      <c r="E54" s="28">
        <f>0</f>
        <v>0</v>
      </c>
      <c r="F54" s="28">
        <f>0</f>
        <v>0</v>
      </c>
      <c r="G54" s="28">
        <f>0</f>
        <v>0</v>
      </c>
      <c r="H54" s="28">
        <f>0</f>
        <v>0</v>
      </c>
      <c r="I54" s="116">
        <f t="shared" si="14"/>
        <v>0</v>
      </c>
      <c r="J54" s="116" t="e">
        <f t="shared" si="4"/>
        <v>#DIV/0!</v>
      </c>
      <c r="K54" s="47">
        <f t="shared" si="5"/>
        <v>0</v>
      </c>
      <c r="L54" s="116">
        <f t="shared" si="15"/>
        <v>0</v>
      </c>
      <c r="M54" s="116" t="e">
        <f t="shared" si="6"/>
        <v>#DIV/0!</v>
      </c>
      <c r="N54" s="47">
        <f t="shared" si="7"/>
        <v>0</v>
      </c>
      <c r="O54" s="116">
        <f t="shared" si="16"/>
        <v>0</v>
      </c>
      <c r="P54" s="116" t="e">
        <f t="shared" si="8"/>
        <v>#DIV/0!</v>
      </c>
      <c r="Q54" s="47">
        <f t="shared" si="9"/>
        <v>0</v>
      </c>
      <c r="R54" s="30">
        <f t="shared" si="10"/>
        <v>0</v>
      </c>
      <c r="T54" s="114">
        <v>680092.4</v>
      </c>
      <c r="U54" s="115">
        <v>625407.2</v>
      </c>
      <c r="V54" s="115">
        <v>642540.6</v>
      </c>
    </row>
    <row r="55" spans="1:22" ht="37.5">
      <c r="A55" s="200"/>
      <c r="B55" s="195" t="s">
        <v>14</v>
      </c>
      <c r="C55" s="198">
        <v>0</v>
      </c>
      <c r="D55" s="48">
        <v>0</v>
      </c>
      <c r="E55" s="199">
        <v>0</v>
      </c>
      <c r="F55" s="199">
        <v>9000</v>
      </c>
      <c r="G55" s="199">
        <v>5000</v>
      </c>
      <c r="H55" s="199">
        <v>2558.8</v>
      </c>
      <c r="I55" s="124">
        <f t="shared" si="14"/>
        <v>0.013233495919083935</v>
      </c>
      <c r="J55" s="124" t="e">
        <f t="shared" si="4"/>
        <v>#DIV/0!</v>
      </c>
      <c r="K55" s="125">
        <f t="shared" si="5"/>
        <v>9000</v>
      </c>
      <c r="L55" s="124">
        <f t="shared" si="15"/>
        <v>0.007994791233615475</v>
      </c>
      <c r="M55" s="124">
        <f t="shared" si="6"/>
        <v>0.5555555555555556</v>
      </c>
      <c r="N55" s="125">
        <f t="shared" si="7"/>
        <v>-4000</v>
      </c>
      <c r="O55" s="124">
        <f t="shared" si="16"/>
        <v>0.003982316448174637</v>
      </c>
      <c r="P55" s="124">
        <f t="shared" si="8"/>
        <v>0.51176</v>
      </c>
      <c r="Q55" s="125">
        <f t="shared" si="9"/>
        <v>-2441.2</v>
      </c>
      <c r="R55" s="120">
        <f t="shared" si="10"/>
        <v>1.4630934672876685</v>
      </c>
      <c r="T55" s="114">
        <v>680092.4</v>
      </c>
      <c r="U55" s="115">
        <v>625407.2</v>
      </c>
      <c r="V55" s="115">
        <v>642540.6</v>
      </c>
    </row>
    <row r="56" spans="1:22" ht="101.25" customHeight="1">
      <c r="A56" s="200"/>
      <c r="B56" s="121" t="s">
        <v>362</v>
      </c>
      <c r="C56" s="198">
        <v>0</v>
      </c>
      <c r="D56" s="45">
        <v>3607.4</v>
      </c>
      <c r="E56" s="119">
        <f>23137.5</f>
        <v>23137.5</v>
      </c>
      <c r="F56" s="119">
        <v>18984.4</v>
      </c>
      <c r="G56" s="119">
        <v>19953.5</v>
      </c>
      <c r="H56" s="119">
        <v>20519.8</v>
      </c>
      <c r="I56" s="124">
        <f t="shared" si="14"/>
        <v>0.027914442214028567</v>
      </c>
      <c r="J56" s="124">
        <f t="shared" si="4"/>
        <v>0.8205035116153431</v>
      </c>
      <c r="K56" s="125">
        <f t="shared" si="5"/>
        <v>-4153.0999999999985</v>
      </c>
      <c r="L56" s="124">
        <f t="shared" si="15"/>
        <v>0.03190481337598928</v>
      </c>
      <c r="M56" s="124">
        <f t="shared" si="6"/>
        <v>1.0510471755757358</v>
      </c>
      <c r="N56" s="125">
        <f t="shared" si="7"/>
        <v>969.0999999999985</v>
      </c>
      <c r="O56" s="124">
        <f t="shared" si="16"/>
        <v>0.03193541388668669</v>
      </c>
      <c r="P56" s="124">
        <f t="shared" si="8"/>
        <v>1.0283809857919664</v>
      </c>
      <c r="Q56" s="125">
        <f t="shared" si="9"/>
        <v>566.2999999999993</v>
      </c>
      <c r="R56" s="120">
        <f t="shared" si="10"/>
        <v>3.0862168467084463</v>
      </c>
      <c r="T56" s="114">
        <v>680092.4</v>
      </c>
      <c r="U56" s="115">
        <v>625407.2</v>
      </c>
      <c r="V56" s="115">
        <v>642540.6</v>
      </c>
    </row>
    <row r="57" spans="1:22" ht="78" hidden="1">
      <c r="A57" s="207"/>
      <c r="B57" s="19" t="s">
        <v>223</v>
      </c>
      <c r="C57" s="14">
        <f>3700</f>
        <v>3700</v>
      </c>
      <c r="D57" s="45">
        <v>5247.6</v>
      </c>
      <c r="E57" s="28">
        <f>0</f>
        <v>0</v>
      </c>
      <c r="F57" s="28">
        <f>0</f>
        <v>0</v>
      </c>
      <c r="G57" s="28">
        <f>0</f>
        <v>0</v>
      </c>
      <c r="H57" s="28">
        <f>0</f>
        <v>0</v>
      </c>
      <c r="I57" s="116">
        <f t="shared" si="14"/>
        <v>0</v>
      </c>
      <c r="J57" s="116" t="e">
        <f t="shared" si="4"/>
        <v>#DIV/0!</v>
      </c>
      <c r="K57" s="47">
        <f t="shared" si="5"/>
        <v>0</v>
      </c>
      <c r="L57" s="116">
        <f t="shared" si="15"/>
        <v>0</v>
      </c>
      <c r="M57" s="116" t="e">
        <f t="shared" si="6"/>
        <v>#DIV/0!</v>
      </c>
      <c r="N57" s="47">
        <f t="shared" si="7"/>
        <v>0</v>
      </c>
      <c r="O57" s="116">
        <f t="shared" si="16"/>
        <v>0</v>
      </c>
      <c r="P57" s="116" t="e">
        <f t="shared" si="8"/>
        <v>#DIV/0!</v>
      </c>
      <c r="Q57" s="47">
        <f t="shared" si="9"/>
        <v>0</v>
      </c>
      <c r="R57" s="30">
        <f t="shared" si="10"/>
        <v>0</v>
      </c>
      <c r="T57" s="114">
        <v>680092.4</v>
      </c>
      <c r="U57" s="115">
        <v>625407.2</v>
      </c>
      <c r="V57" s="115">
        <v>642540.6</v>
      </c>
    </row>
    <row r="58" spans="1:22" s="204" customFormat="1" ht="25.5" customHeight="1">
      <c r="A58" s="207" t="s">
        <v>105</v>
      </c>
      <c r="B58" s="19" t="s">
        <v>106</v>
      </c>
      <c r="C58" s="14">
        <f aca="true" t="shared" si="18" ref="C58:H58">C59+C60+C61</f>
        <v>200</v>
      </c>
      <c r="D58" s="45">
        <f t="shared" si="18"/>
        <v>0</v>
      </c>
      <c r="E58" s="123">
        <f t="shared" si="18"/>
        <v>500</v>
      </c>
      <c r="F58" s="123">
        <f t="shared" si="18"/>
        <v>1715</v>
      </c>
      <c r="G58" s="123">
        <f t="shared" si="18"/>
        <v>1215</v>
      </c>
      <c r="H58" s="123">
        <f t="shared" si="18"/>
        <v>715</v>
      </c>
      <c r="I58" s="218">
        <f t="shared" si="14"/>
        <v>0.0025217161668032164</v>
      </c>
      <c r="J58" s="218">
        <f t="shared" si="4"/>
        <v>3.43</v>
      </c>
      <c r="K58" s="219">
        <f t="shared" si="5"/>
        <v>1215</v>
      </c>
      <c r="L58" s="218">
        <f t="shared" si="15"/>
        <v>0.0019427342697685606</v>
      </c>
      <c r="M58" s="218">
        <f t="shared" si="6"/>
        <v>0.7084548104956269</v>
      </c>
      <c r="N58" s="219">
        <f t="shared" si="7"/>
        <v>-500</v>
      </c>
      <c r="O58" s="218">
        <f t="shared" si="16"/>
        <v>0.0011127701502442024</v>
      </c>
      <c r="P58" s="218">
        <f t="shared" si="8"/>
        <v>0.588477366255144</v>
      </c>
      <c r="Q58" s="219">
        <f t="shared" si="9"/>
        <v>-500</v>
      </c>
      <c r="R58" s="220">
        <f t="shared" si="10"/>
        <v>0.27880058848870576</v>
      </c>
      <c r="T58" s="205">
        <v>680092.4</v>
      </c>
      <c r="U58" s="206">
        <v>625407.2</v>
      </c>
      <c r="V58" s="206">
        <v>642540.6</v>
      </c>
    </row>
    <row r="59" spans="1:22" ht="20.25">
      <c r="A59" s="200"/>
      <c r="B59" s="121" t="s">
        <v>211</v>
      </c>
      <c r="C59" s="118">
        <f>200</f>
        <v>200</v>
      </c>
      <c r="D59" s="45">
        <v>0</v>
      </c>
      <c r="E59" s="119">
        <f>290</f>
        <v>290</v>
      </c>
      <c r="F59" s="119">
        <v>200</v>
      </c>
      <c r="G59" s="119">
        <v>200</v>
      </c>
      <c r="H59" s="119">
        <v>200</v>
      </c>
      <c r="I59" s="124">
        <f t="shared" si="14"/>
        <v>0.00029407768709075415</v>
      </c>
      <c r="J59" s="124">
        <f t="shared" si="4"/>
        <v>0.6896551724137931</v>
      </c>
      <c r="K59" s="125">
        <f t="shared" si="5"/>
        <v>-90</v>
      </c>
      <c r="L59" s="124">
        <f t="shared" si="15"/>
        <v>0.000319791649344619</v>
      </c>
      <c r="M59" s="124">
        <f t="shared" si="6"/>
        <v>1</v>
      </c>
      <c r="N59" s="125">
        <f t="shared" si="7"/>
        <v>0</v>
      </c>
      <c r="O59" s="124">
        <f t="shared" si="16"/>
        <v>0.000311264377690686</v>
      </c>
      <c r="P59" s="124">
        <f t="shared" si="8"/>
        <v>1</v>
      </c>
      <c r="Q59" s="125">
        <f t="shared" si="9"/>
        <v>0</v>
      </c>
      <c r="R59" s="120">
        <f t="shared" si="10"/>
        <v>0.03251318816194819</v>
      </c>
      <c r="T59" s="114">
        <v>680092.4</v>
      </c>
      <c r="U59" s="115">
        <v>625407.2</v>
      </c>
      <c r="V59" s="115">
        <v>642540.6</v>
      </c>
    </row>
    <row r="60" spans="1:22" ht="20.25" hidden="1">
      <c r="A60" s="200"/>
      <c r="B60" s="188" t="s">
        <v>72</v>
      </c>
      <c r="C60" s="118"/>
      <c r="D60" s="45"/>
      <c r="E60" s="119"/>
      <c r="F60" s="119"/>
      <c r="G60" s="119"/>
      <c r="H60" s="119"/>
      <c r="I60" s="124">
        <f t="shared" si="14"/>
        <v>0</v>
      </c>
      <c r="J60" s="124" t="e">
        <f t="shared" si="4"/>
        <v>#DIV/0!</v>
      </c>
      <c r="K60" s="125">
        <f t="shared" si="5"/>
        <v>0</v>
      </c>
      <c r="L60" s="124">
        <f t="shared" si="15"/>
        <v>0</v>
      </c>
      <c r="M60" s="124" t="e">
        <f t="shared" si="6"/>
        <v>#DIV/0!</v>
      </c>
      <c r="N60" s="125">
        <f t="shared" si="7"/>
        <v>0</v>
      </c>
      <c r="O60" s="124">
        <f t="shared" si="16"/>
        <v>0</v>
      </c>
      <c r="P60" s="124" t="e">
        <f t="shared" si="8"/>
        <v>#DIV/0!</v>
      </c>
      <c r="Q60" s="125">
        <f t="shared" si="9"/>
        <v>0</v>
      </c>
      <c r="R60" s="120">
        <f t="shared" si="10"/>
        <v>0</v>
      </c>
      <c r="T60" s="114">
        <v>680092.4</v>
      </c>
      <c r="U60" s="115">
        <v>625407.2</v>
      </c>
      <c r="V60" s="115">
        <v>642540.6</v>
      </c>
    </row>
    <row r="61" spans="1:22" ht="112.5">
      <c r="A61" s="200"/>
      <c r="B61" s="121" t="s">
        <v>348</v>
      </c>
      <c r="C61" s="118"/>
      <c r="D61" s="45"/>
      <c r="E61" s="119">
        <f>200+10</f>
        <v>210</v>
      </c>
      <c r="F61" s="119">
        <f>1500+15</f>
        <v>1515</v>
      </c>
      <c r="G61" s="119">
        <f>1000+15</f>
        <v>1015</v>
      </c>
      <c r="H61" s="119">
        <f>500+15</f>
        <v>515</v>
      </c>
      <c r="I61" s="124">
        <f t="shared" si="14"/>
        <v>0.0022276384797124626</v>
      </c>
      <c r="J61" s="124">
        <f t="shared" si="4"/>
        <v>7.214285714285714</v>
      </c>
      <c r="K61" s="125">
        <f t="shared" si="5"/>
        <v>1305</v>
      </c>
      <c r="L61" s="124">
        <f t="shared" si="15"/>
        <v>0.0016229426204239414</v>
      </c>
      <c r="M61" s="124">
        <f t="shared" si="6"/>
        <v>0.66996699669967</v>
      </c>
      <c r="N61" s="125">
        <f t="shared" si="7"/>
        <v>-500</v>
      </c>
      <c r="O61" s="124">
        <f t="shared" si="16"/>
        <v>0.0008015057725535165</v>
      </c>
      <c r="P61" s="124">
        <f t="shared" si="8"/>
        <v>0.5073891625615764</v>
      </c>
      <c r="Q61" s="125">
        <f t="shared" si="9"/>
        <v>-500</v>
      </c>
      <c r="R61" s="120">
        <f t="shared" si="10"/>
        <v>0.24628740032675753</v>
      </c>
      <c r="T61" s="114">
        <v>680092.4</v>
      </c>
      <c r="U61" s="115">
        <v>625407.2</v>
      </c>
      <c r="V61" s="115">
        <v>642540.6</v>
      </c>
    </row>
    <row r="62" spans="1:22" s="134" customFormat="1" ht="20.25">
      <c r="A62" s="126" t="s">
        <v>107</v>
      </c>
      <c r="B62" s="138" t="s">
        <v>108</v>
      </c>
      <c r="C62" s="127">
        <f aca="true" t="shared" si="19" ref="C62:H62">C63+C66+C71</f>
        <v>50288.9</v>
      </c>
      <c r="D62" s="128">
        <f t="shared" si="19"/>
        <v>5100</v>
      </c>
      <c r="E62" s="130">
        <f t="shared" si="19"/>
        <v>8000</v>
      </c>
      <c r="F62" s="130">
        <f t="shared" si="19"/>
        <v>8900</v>
      </c>
      <c r="G62" s="130">
        <f t="shared" si="19"/>
        <v>7500</v>
      </c>
      <c r="H62" s="130">
        <f t="shared" si="19"/>
        <v>7500</v>
      </c>
      <c r="I62" s="129">
        <f t="shared" si="14"/>
        <v>0.013086457075538559</v>
      </c>
      <c r="J62" s="129">
        <f t="shared" si="4"/>
        <v>1.1125</v>
      </c>
      <c r="K62" s="130">
        <f t="shared" si="5"/>
        <v>900</v>
      </c>
      <c r="L62" s="129">
        <f t="shared" si="15"/>
        <v>0.011992186850423213</v>
      </c>
      <c r="M62" s="129">
        <f t="shared" si="6"/>
        <v>0.8426966292134831</v>
      </c>
      <c r="N62" s="130">
        <f t="shared" si="7"/>
        <v>-1400</v>
      </c>
      <c r="O62" s="129">
        <f t="shared" si="16"/>
        <v>0.011672414163400726</v>
      </c>
      <c r="P62" s="129">
        <f t="shared" si="8"/>
        <v>1</v>
      </c>
      <c r="Q62" s="130">
        <f t="shared" si="9"/>
        <v>0</v>
      </c>
      <c r="R62" s="131">
        <f t="shared" si="10"/>
        <v>1.4468368732066943</v>
      </c>
      <c r="S62" s="131">
        <f>F62/E62*100</f>
        <v>111.25</v>
      </c>
      <c r="T62" s="132">
        <v>680092.4</v>
      </c>
      <c r="U62" s="133">
        <v>625407.2</v>
      </c>
      <c r="V62" s="133">
        <v>642540.6</v>
      </c>
    </row>
    <row r="63" spans="1:22" s="204" customFormat="1" ht="25.5" customHeight="1">
      <c r="A63" s="207" t="s">
        <v>109</v>
      </c>
      <c r="B63" s="19" t="s">
        <v>110</v>
      </c>
      <c r="C63" s="14">
        <f aca="true" t="shared" si="20" ref="C63:H63">C64+C65</f>
        <v>0</v>
      </c>
      <c r="D63" s="45">
        <f t="shared" si="20"/>
        <v>2300</v>
      </c>
      <c r="E63" s="123">
        <f t="shared" si="20"/>
        <v>1800</v>
      </c>
      <c r="F63" s="123">
        <f t="shared" si="20"/>
        <v>1800</v>
      </c>
      <c r="G63" s="123">
        <f t="shared" si="20"/>
        <v>800</v>
      </c>
      <c r="H63" s="123">
        <f t="shared" si="20"/>
        <v>800</v>
      </c>
      <c r="I63" s="218">
        <f t="shared" si="14"/>
        <v>0.002646699183816787</v>
      </c>
      <c r="J63" s="218">
        <f t="shared" si="4"/>
        <v>1</v>
      </c>
      <c r="K63" s="219">
        <f t="shared" si="5"/>
        <v>0</v>
      </c>
      <c r="L63" s="218">
        <f t="shared" si="15"/>
        <v>0.001279166597378476</v>
      </c>
      <c r="M63" s="218">
        <f t="shared" si="6"/>
        <v>0.4444444444444444</v>
      </c>
      <c r="N63" s="219">
        <f t="shared" si="7"/>
        <v>-1000</v>
      </c>
      <c r="O63" s="218">
        <f t="shared" si="16"/>
        <v>0.001245057510762744</v>
      </c>
      <c r="P63" s="218">
        <f t="shared" si="8"/>
        <v>1</v>
      </c>
      <c r="Q63" s="219">
        <f t="shared" si="9"/>
        <v>0</v>
      </c>
      <c r="R63" s="220">
        <f t="shared" si="10"/>
        <v>0.2926186934575337</v>
      </c>
      <c r="T63" s="205">
        <v>680092.4</v>
      </c>
      <c r="U63" s="206">
        <v>625407.2</v>
      </c>
      <c r="V63" s="206">
        <v>642540.6</v>
      </c>
    </row>
    <row r="64" spans="1:22" ht="24.75" customHeight="1">
      <c r="A64" s="200"/>
      <c r="B64" s="121" t="s">
        <v>349</v>
      </c>
      <c r="C64" s="118">
        <v>0</v>
      </c>
      <c r="D64" s="45">
        <f>2300</f>
        <v>2300</v>
      </c>
      <c r="E64" s="119">
        <f>1800</f>
        <v>1800</v>
      </c>
      <c r="F64" s="119">
        <f>1800</f>
        <v>1800</v>
      </c>
      <c r="G64" s="119">
        <f>1800-1000</f>
        <v>800</v>
      </c>
      <c r="H64" s="119">
        <f>1800-1000</f>
        <v>800</v>
      </c>
      <c r="I64" s="124">
        <f t="shared" si="14"/>
        <v>0.002646699183816787</v>
      </c>
      <c r="J64" s="124">
        <f t="shared" si="4"/>
        <v>1</v>
      </c>
      <c r="K64" s="125">
        <f t="shared" si="5"/>
        <v>0</v>
      </c>
      <c r="L64" s="124">
        <f t="shared" si="15"/>
        <v>0.001279166597378476</v>
      </c>
      <c r="M64" s="124">
        <f t="shared" si="6"/>
        <v>0.4444444444444444</v>
      </c>
      <c r="N64" s="125">
        <f t="shared" si="7"/>
        <v>-1000</v>
      </c>
      <c r="O64" s="124">
        <f t="shared" si="16"/>
        <v>0.001245057510762744</v>
      </c>
      <c r="P64" s="124">
        <f t="shared" si="8"/>
        <v>1</v>
      </c>
      <c r="Q64" s="125">
        <f t="shared" si="9"/>
        <v>0</v>
      </c>
      <c r="R64" s="120">
        <f t="shared" si="10"/>
        <v>0.2926186934575337</v>
      </c>
      <c r="T64" s="114">
        <v>680092.4</v>
      </c>
      <c r="U64" s="115">
        <v>625407.2</v>
      </c>
      <c r="V64" s="115">
        <v>642540.6</v>
      </c>
    </row>
    <row r="65" spans="1:22" ht="21" hidden="1">
      <c r="A65" s="207"/>
      <c r="B65" s="19" t="s">
        <v>111</v>
      </c>
      <c r="C65" s="14"/>
      <c r="D65" s="45"/>
      <c r="E65" s="28"/>
      <c r="F65" s="28"/>
      <c r="G65" s="28"/>
      <c r="H65" s="28"/>
      <c r="I65" s="116">
        <f t="shared" si="14"/>
        <v>0</v>
      </c>
      <c r="J65" s="116" t="e">
        <f t="shared" si="4"/>
        <v>#DIV/0!</v>
      </c>
      <c r="K65" s="47">
        <f t="shared" si="5"/>
        <v>0</v>
      </c>
      <c r="L65" s="116">
        <f t="shared" si="15"/>
        <v>0</v>
      </c>
      <c r="M65" s="116" t="e">
        <f t="shared" si="6"/>
        <v>#DIV/0!</v>
      </c>
      <c r="N65" s="47">
        <f t="shared" si="7"/>
        <v>0</v>
      </c>
      <c r="O65" s="116">
        <f t="shared" si="16"/>
        <v>0</v>
      </c>
      <c r="P65" s="116" t="e">
        <f t="shared" si="8"/>
        <v>#DIV/0!</v>
      </c>
      <c r="Q65" s="47">
        <f t="shared" si="9"/>
        <v>0</v>
      </c>
      <c r="R65" s="30">
        <f t="shared" si="10"/>
        <v>0</v>
      </c>
      <c r="T65" s="114">
        <v>680092.4</v>
      </c>
      <c r="U65" s="115">
        <v>625407.2</v>
      </c>
      <c r="V65" s="115">
        <v>642540.6</v>
      </c>
    </row>
    <row r="66" spans="1:22" s="204" customFormat="1" ht="29.25" customHeight="1">
      <c r="A66" s="207" t="s">
        <v>112</v>
      </c>
      <c r="B66" s="19" t="s">
        <v>350</v>
      </c>
      <c r="C66" s="14">
        <f aca="true" t="shared" si="21" ref="C66:H66">C67+C68</f>
        <v>50288.9</v>
      </c>
      <c r="D66" s="45">
        <f t="shared" si="21"/>
        <v>2800</v>
      </c>
      <c r="E66" s="123">
        <f t="shared" si="21"/>
        <v>6200</v>
      </c>
      <c r="F66" s="123">
        <f t="shared" si="21"/>
        <v>7100</v>
      </c>
      <c r="G66" s="123">
        <f t="shared" si="21"/>
        <v>6700</v>
      </c>
      <c r="H66" s="123">
        <f t="shared" si="21"/>
        <v>6700</v>
      </c>
      <c r="I66" s="218">
        <f t="shared" si="14"/>
        <v>0.010439757891721772</v>
      </c>
      <c r="J66" s="218">
        <f t="shared" si="4"/>
        <v>1.1451612903225807</v>
      </c>
      <c r="K66" s="219">
        <f t="shared" si="5"/>
        <v>900</v>
      </c>
      <c r="L66" s="218">
        <f t="shared" si="15"/>
        <v>0.010713020253044736</v>
      </c>
      <c r="M66" s="218">
        <f t="shared" si="6"/>
        <v>0.9436619718309859</v>
      </c>
      <c r="N66" s="219">
        <f t="shared" si="7"/>
        <v>-400</v>
      </c>
      <c r="O66" s="218">
        <f t="shared" si="16"/>
        <v>0.010427356652637982</v>
      </c>
      <c r="P66" s="218">
        <f t="shared" si="8"/>
        <v>1</v>
      </c>
      <c r="Q66" s="219">
        <f t="shared" si="9"/>
        <v>0</v>
      </c>
      <c r="R66" s="220">
        <f t="shared" si="10"/>
        <v>1.1542181797491609</v>
      </c>
      <c r="T66" s="205">
        <v>680092.4</v>
      </c>
      <c r="U66" s="206">
        <v>625407.2</v>
      </c>
      <c r="V66" s="206">
        <v>642540.6</v>
      </c>
    </row>
    <row r="67" spans="1:22" ht="106.5" customHeight="1">
      <c r="A67" s="200"/>
      <c r="B67" s="121" t="s">
        <v>348</v>
      </c>
      <c r="C67" s="118">
        <f>43538.9</f>
        <v>43538.9</v>
      </c>
      <c r="D67" s="45">
        <v>0</v>
      </c>
      <c r="E67" s="119">
        <v>0</v>
      </c>
      <c r="F67" s="119">
        <f>400</f>
        <v>400</v>
      </c>
      <c r="G67" s="119">
        <f>400-400</f>
        <v>0</v>
      </c>
      <c r="H67" s="119">
        <f>400-400</f>
        <v>0</v>
      </c>
      <c r="I67" s="124">
        <f t="shared" si="14"/>
        <v>0.0005881553741815083</v>
      </c>
      <c r="J67" s="124" t="e">
        <f t="shared" si="4"/>
        <v>#DIV/0!</v>
      </c>
      <c r="K67" s="125">
        <f t="shared" si="5"/>
        <v>400</v>
      </c>
      <c r="L67" s="124">
        <f t="shared" si="15"/>
        <v>0</v>
      </c>
      <c r="M67" s="124">
        <f t="shared" si="6"/>
        <v>0</v>
      </c>
      <c r="N67" s="125">
        <f t="shared" si="7"/>
        <v>-400</v>
      </c>
      <c r="O67" s="124">
        <f t="shared" si="16"/>
        <v>0</v>
      </c>
      <c r="P67" s="124" t="e">
        <f t="shared" si="8"/>
        <v>#DIV/0!</v>
      </c>
      <c r="Q67" s="125">
        <f t="shared" si="9"/>
        <v>0</v>
      </c>
      <c r="R67" s="120">
        <f t="shared" si="10"/>
        <v>0.06502637632389638</v>
      </c>
      <c r="T67" s="114">
        <v>680092.4</v>
      </c>
      <c r="U67" s="115">
        <v>625407.2</v>
      </c>
      <c r="V67" s="115">
        <v>642540.6</v>
      </c>
    </row>
    <row r="68" spans="1:22" ht="84" customHeight="1">
      <c r="A68" s="200"/>
      <c r="B68" s="121" t="s">
        <v>351</v>
      </c>
      <c r="C68" s="118">
        <v>6750</v>
      </c>
      <c r="D68" s="45">
        <f>2800</f>
        <v>2800</v>
      </c>
      <c r="E68" s="119">
        <f>6200</f>
        <v>6200</v>
      </c>
      <c r="F68" s="119">
        <v>6700</v>
      </c>
      <c r="G68" s="119">
        <v>6700</v>
      </c>
      <c r="H68" s="119">
        <v>6700</v>
      </c>
      <c r="I68" s="124">
        <f t="shared" si="14"/>
        <v>0.009851602517540263</v>
      </c>
      <c r="J68" s="124">
        <f t="shared" si="4"/>
        <v>1.0806451612903225</v>
      </c>
      <c r="K68" s="125">
        <f t="shared" si="5"/>
        <v>500</v>
      </c>
      <c r="L68" s="124">
        <f t="shared" si="15"/>
        <v>0.010713020253044736</v>
      </c>
      <c r="M68" s="124">
        <f t="shared" si="6"/>
        <v>1</v>
      </c>
      <c r="N68" s="125">
        <f t="shared" si="7"/>
        <v>0</v>
      </c>
      <c r="O68" s="124">
        <f t="shared" si="16"/>
        <v>0.010427356652637982</v>
      </c>
      <c r="P68" s="124">
        <f t="shared" si="8"/>
        <v>1</v>
      </c>
      <c r="Q68" s="125">
        <f t="shared" si="9"/>
        <v>0</v>
      </c>
      <c r="R68" s="120">
        <f t="shared" si="10"/>
        <v>1.0891918034252646</v>
      </c>
      <c r="T68" s="114">
        <v>680092.4</v>
      </c>
      <c r="U68" s="115">
        <v>625407.2</v>
      </c>
      <c r="V68" s="115">
        <v>642540.6</v>
      </c>
    </row>
    <row r="69" spans="1:22" ht="75" hidden="1">
      <c r="A69" s="207"/>
      <c r="B69" s="13" t="s">
        <v>115</v>
      </c>
      <c r="C69" s="18">
        <v>1000</v>
      </c>
      <c r="D69" s="48">
        <v>0</v>
      </c>
      <c r="E69" s="186">
        <v>0</v>
      </c>
      <c r="F69" s="186">
        <v>0</v>
      </c>
      <c r="G69" s="186">
        <v>0</v>
      </c>
      <c r="H69" s="186">
        <v>0</v>
      </c>
      <c r="I69" s="116">
        <f t="shared" si="14"/>
        <v>0</v>
      </c>
      <c r="J69" s="116" t="e">
        <f t="shared" si="4"/>
        <v>#DIV/0!</v>
      </c>
      <c r="K69" s="47">
        <f t="shared" si="5"/>
        <v>0</v>
      </c>
      <c r="L69" s="116">
        <f t="shared" si="15"/>
        <v>0</v>
      </c>
      <c r="M69" s="116" t="e">
        <f t="shared" si="6"/>
        <v>#DIV/0!</v>
      </c>
      <c r="N69" s="47">
        <f t="shared" si="7"/>
        <v>0</v>
      </c>
      <c r="O69" s="116">
        <f t="shared" si="16"/>
        <v>0</v>
      </c>
      <c r="P69" s="116" t="e">
        <f t="shared" si="8"/>
        <v>#DIV/0!</v>
      </c>
      <c r="Q69" s="47">
        <f t="shared" si="9"/>
        <v>0</v>
      </c>
      <c r="R69" s="30">
        <f t="shared" si="10"/>
        <v>0</v>
      </c>
      <c r="T69" s="114">
        <v>680092.4</v>
      </c>
      <c r="U69" s="115">
        <v>625407.2</v>
      </c>
      <c r="V69" s="115">
        <v>642540.6</v>
      </c>
    </row>
    <row r="70" spans="1:22" ht="56.25">
      <c r="A70" s="200"/>
      <c r="B70" s="121" t="s">
        <v>116</v>
      </c>
      <c r="C70" s="118">
        <v>2700</v>
      </c>
      <c r="D70" s="45">
        <v>2800</v>
      </c>
      <c r="E70" s="119">
        <f>6200</f>
        <v>6200</v>
      </c>
      <c r="F70" s="119">
        <v>6700</v>
      </c>
      <c r="G70" s="119">
        <v>6700</v>
      </c>
      <c r="H70" s="119">
        <v>6700</v>
      </c>
      <c r="I70" s="124">
        <f t="shared" si="14"/>
        <v>0.009851602517540263</v>
      </c>
      <c r="J70" s="124">
        <f t="shared" si="4"/>
        <v>1.0806451612903225</v>
      </c>
      <c r="K70" s="125">
        <f t="shared" si="5"/>
        <v>500</v>
      </c>
      <c r="L70" s="124">
        <f t="shared" si="15"/>
        <v>0.010713020253044736</v>
      </c>
      <c r="M70" s="124">
        <f t="shared" si="6"/>
        <v>1</v>
      </c>
      <c r="N70" s="125">
        <f t="shared" si="7"/>
        <v>0</v>
      </c>
      <c r="O70" s="124">
        <f t="shared" si="16"/>
        <v>0.010427356652637982</v>
      </c>
      <c r="P70" s="124">
        <f t="shared" si="8"/>
        <v>1</v>
      </c>
      <c r="Q70" s="125">
        <f t="shared" si="9"/>
        <v>0</v>
      </c>
      <c r="R70" s="120">
        <f t="shared" si="10"/>
        <v>1.0891918034252646</v>
      </c>
      <c r="T70" s="114">
        <v>680092.4</v>
      </c>
      <c r="U70" s="115">
        <v>625407.2</v>
      </c>
      <c r="V70" s="115">
        <v>642540.6</v>
      </c>
    </row>
    <row r="71" spans="1:22" ht="21" hidden="1">
      <c r="A71" s="207" t="s">
        <v>117</v>
      </c>
      <c r="B71" s="19" t="s">
        <v>118</v>
      </c>
      <c r="C71" s="14">
        <f aca="true" t="shared" si="22" ref="C71:H71">C72+C73+C74+C75+C76+C77</f>
        <v>0</v>
      </c>
      <c r="D71" s="45">
        <f t="shared" si="22"/>
        <v>0</v>
      </c>
      <c r="E71" s="28">
        <f t="shared" si="22"/>
        <v>0</v>
      </c>
      <c r="F71" s="28">
        <f t="shared" si="22"/>
        <v>0</v>
      </c>
      <c r="G71" s="28">
        <f t="shared" si="22"/>
        <v>0</v>
      </c>
      <c r="H71" s="28">
        <f t="shared" si="22"/>
        <v>0</v>
      </c>
      <c r="I71" s="116">
        <f t="shared" si="14"/>
        <v>0</v>
      </c>
      <c r="J71" s="116" t="e">
        <f t="shared" si="4"/>
        <v>#DIV/0!</v>
      </c>
      <c r="K71" s="47">
        <f t="shared" si="5"/>
        <v>0</v>
      </c>
      <c r="L71" s="116">
        <f t="shared" si="15"/>
        <v>0</v>
      </c>
      <c r="M71" s="116" t="e">
        <f t="shared" si="6"/>
        <v>#DIV/0!</v>
      </c>
      <c r="N71" s="47">
        <f t="shared" si="7"/>
        <v>0</v>
      </c>
      <c r="O71" s="116">
        <f t="shared" si="16"/>
        <v>0</v>
      </c>
      <c r="P71" s="116" t="e">
        <f t="shared" si="8"/>
        <v>#DIV/0!</v>
      </c>
      <c r="Q71" s="47">
        <f t="shared" si="9"/>
        <v>0</v>
      </c>
      <c r="R71" s="30">
        <f t="shared" si="10"/>
        <v>0</v>
      </c>
      <c r="T71" s="114">
        <v>680092.4</v>
      </c>
      <c r="U71" s="115">
        <v>625407.2</v>
      </c>
      <c r="V71" s="115">
        <v>642540.6</v>
      </c>
    </row>
    <row r="72" spans="1:22" ht="58.5" hidden="1">
      <c r="A72" s="211"/>
      <c r="B72" s="19" t="s">
        <v>119</v>
      </c>
      <c r="C72" s="18">
        <v>0</v>
      </c>
      <c r="D72" s="48">
        <v>0</v>
      </c>
      <c r="E72" s="186">
        <v>0</v>
      </c>
      <c r="F72" s="186">
        <v>0</v>
      </c>
      <c r="G72" s="186">
        <v>0</v>
      </c>
      <c r="H72" s="186">
        <v>0</v>
      </c>
      <c r="I72" s="116">
        <f aca="true" t="shared" si="23" ref="I72:I103">F72/T72</f>
        <v>0</v>
      </c>
      <c r="J72" s="116" t="e">
        <f t="shared" si="4"/>
        <v>#DIV/0!</v>
      </c>
      <c r="K72" s="47">
        <f t="shared" si="5"/>
        <v>0</v>
      </c>
      <c r="L72" s="116">
        <f aca="true" t="shared" si="24" ref="L72:L103">G72/U72</f>
        <v>0</v>
      </c>
      <c r="M72" s="116" t="e">
        <f t="shared" si="6"/>
        <v>#DIV/0!</v>
      </c>
      <c r="N72" s="47">
        <f t="shared" si="7"/>
        <v>0</v>
      </c>
      <c r="O72" s="116">
        <f aca="true" t="shared" si="25" ref="O72:O103">H72/V72</f>
        <v>0</v>
      </c>
      <c r="P72" s="116" t="e">
        <f t="shared" si="8"/>
        <v>#DIV/0!</v>
      </c>
      <c r="Q72" s="47">
        <f t="shared" si="9"/>
        <v>0</v>
      </c>
      <c r="R72" s="30">
        <f t="shared" si="10"/>
        <v>0</v>
      </c>
      <c r="T72" s="114">
        <v>680092.4</v>
      </c>
      <c r="U72" s="115">
        <v>625407.2</v>
      </c>
      <c r="V72" s="115">
        <v>642540.6</v>
      </c>
    </row>
    <row r="73" spans="1:22" ht="20.25" hidden="1">
      <c r="A73" s="211"/>
      <c r="B73" s="19" t="s">
        <v>120</v>
      </c>
      <c r="C73" s="18"/>
      <c r="D73" s="48"/>
      <c r="E73" s="186"/>
      <c r="F73" s="186"/>
      <c r="G73" s="186"/>
      <c r="H73" s="186"/>
      <c r="I73" s="116">
        <f t="shared" si="23"/>
        <v>0</v>
      </c>
      <c r="J73" s="116" t="e">
        <f t="shared" si="4"/>
        <v>#DIV/0!</v>
      </c>
      <c r="K73" s="47">
        <f t="shared" si="5"/>
        <v>0</v>
      </c>
      <c r="L73" s="116">
        <f t="shared" si="24"/>
        <v>0</v>
      </c>
      <c r="M73" s="116" t="e">
        <f t="shared" si="6"/>
        <v>#DIV/0!</v>
      </c>
      <c r="N73" s="47">
        <f t="shared" si="7"/>
        <v>0</v>
      </c>
      <c r="O73" s="116">
        <f t="shared" si="25"/>
        <v>0</v>
      </c>
      <c r="P73" s="116" t="e">
        <f t="shared" si="8"/>
        <v>#DIV/0!</v>
      </c>
      <c r="Q73" s="47">
        <f t="shared" si="9"/>
        <v>0</v>
      </c>
      <c r="R73" s="30">
        <f t="shared" si="10"/>
        <v>0</v>
      </c>
      <c r="T73" s="114">
        <v>680092.4</v>
      </c>
      <c r="U73" s="115">
        <v>625407.2</v>
      </c>
      <c r="V73" s="115">
        <v>642540.6</v>
      </c>
    </row>
    <row r="74" spans="1:22" ht="20.25" hidden="1">
      <c r="A74" s="211"/>
      <c r="B74" s="19" t="s">
        <v>121</v>
      </c>
      <c r="C74" s="18"/>
      <c r="D74" s="48"/>
      <c r="E74" s="186"/>
      <c r="F74" s="186"/>
      <c r="G74" s="186"/>
      <c r="H74" s="186"/>
      <c r="I74" s="116">
        <f t="shared" si="23"/>
        <v>0</v>
      </c>
      <c r="J74" s="116" t="e">
        <f t="shared" si="4"/>
        <v>#DIV/0!</v>
      </c>
      <c r="K74" s="47">
        <f t="shared" si="5"/>
        <v>0</v>
      </c>
      <c r="L74" s="116">
        <f t="shared" si="24"/>
        <v>0</v>
      </c>
      <c r="M74" s="116" t="e">
        <f t="shared" si="6"/>
        <v>#DIV/0!</v>
      </c>
      <c r="N74" s="47">
        <f t="shared" si="7"/>
        <v>0</v>
      </c>
      <c r="O74" s="116">
        <f t="shared" si="25"/>
        <v>0</v>
      </c>
      <c r="P74" s="116" t="e">
        <f t="shared" si="8"/>
        <v>#DIV/0!</v>
      </c>
      <c r="Q74" s="47">
        <f t="shared" si="9"/>
        <v>0</v>
      </c>
      <c r="R74" s="30">
        <f t="shared" si="10"/>
        <v>0</v>
      </c>
      <c r="T74" s="114">
        <v>680092.4</v>
      </c>
      <c r="U74" s="115">
        <v>625407.2</v>
      </c>
      <c r="V74" s="115">
        <v>642540.6</v>
      </c>
    </row>
    <row r="75" spans="1:22" ht="20.25" hidden="1">
      <c r="A75" s="211"/>
      <c r="B75" s="19" t="s">
        <v>122</v>
      </c>
      <c r="C75" s="18"/>
      <c r="D75" s="48"/>
      <c r="E75" s="186"/>
      <c r="F75" s="186"/>
      <c r="G75" s="186"/>
      <c r="H75" s="186"/>
      <c r="I75" s="116">
        <f t="shared" si="23"/>
        <v>0</v>
      </c>
      <c r="J75" s="116" t="e">
        <f aca="true" t="shared" si="26" ref="J75:J141">F75/E75</f>
        <v>#DIV/0!</v>
      </c>
      <c r="K75" s="47">
        <f aca="true" t="shared" si="27" ref="K75:K141">F75-E75</f>
        <v>0</v>
      </c>
      <c r="L75" s="116">
        <f t="shared" si="24"/>
        <v>0</v>
      </c>
      <c r="M75" s="116" t="e">
        <f aca="true" t="shared" si="28" ref="M75:M141">G75/F75</f>
        <v>#DIV/0!</v>
      </c>
      <c r="N75" s="47">
        <f aca="true" t="shared" si="29" ref="N75:N141">G75-F75</f>
        <v>0</v>
      </c>
      <c r="O75" s="116">
        <f t="shared" si="25"/>
        <v>0</v>
      </c>
      <c r="P75" s="116" t="e">
        <f aca="true" t="shared" si="30" ref="P75:P141">H75/G75</f>
        <v>#DIV/0!</v>
      </c>
      <c r="Q75" s="47">
        <f aca="true" t="shared" si="31" ref="Q75:Q141">H75-G75</f>
        <v>0</v>
      </c>
      <c r="R75" s="30">
        <f t="shared" si="10"/>
        <v>0</v>
      </c>
      <c r="T75" s="114">
        <v>680092.4</v>
      </c>
      <c r="U75" s="115">
        <v>625407.2</v>
      </c>
      <c r="V75" s="115">
        <v>642540.6</v>
      </c>
    </row>
    <row r="76" spans="1:22" ht="58.5" hidden="1">
      <c r="A76" s="211"/>
      <c r="B76" s="19" t="s">
        <v>123</v>
      </c>
      <c r="C76" s="18">
        <v>0</v>
      </c>
      <c r="D76" s="48">
        <v>0</v>
      </c>
      <c r="E76" s="186">
        <v>0</v>
      </c>
      <c r="F76" s="186">
        <v>0</v>
      </c>
      <c r="G76" s="186">
        <v>0</v>
      </c>
      <c r="H76" s="186">
        <v>0</v>
      </c>
      <c r="I76" s="116">
        <f t="shared" si="23"/>
        <v>0</v>
      </c>
      <c r="J76" s="116" t="e">
        <f t="shared" si="26"/>
        <v>#DIV/0!</v>
      </c>
      <c r="K76" s="47">
        <f t="shared" si="27"/>
        <v>0</v>
      </c>
      <c r="L76" s="116">
        <f t="shared" si="24"/>
        <v>0</v>
      </c>
      <c r="M76" s="116" t="e">
        <f t="shared" si="28"/>
        <v>#DIV/0!</v>
      </c>
      <c r="N76" s="47">
        <f t="shared" si="29"/>
        <v>0</v>
      </c>
      <c r="O76" s="116">
        <f t="shared" si="25"/>
        <v>0</v>
      </c>
      <c r="P76" s="116" t="e">
        <f t="shared" si="30"/>
        <v>#DIV/0!</v>
      </c>
      <c r="Q76" s="47">
        <f t="shared" si="31"/>
        <v>0</v>
      </c>
      <c r="R76" s="30">
        <f t="shared" si="10"/>
        <v>0</v>
      </c>
      <c r="T76" s="114">
        <v>680092.4</v>
      </c>
      <c r="U76" s="115">
        <v>625407.2</v>
      </c>
      <c r="V76" s="115">
        <v>642540.6</v>
      </c>
    </row>
    <row r="77" spans="1:22" ht="97.5" hidden="1">
      <c r="A77" s="211"/>
      <c r="B77" s="19" t="s">
        <v>124</v>
      </c>
      <c r="C77" s="18">
        <v>0</v>
      </c>
      <c r="D77" s="48">
        <v>0</v>
      </c>
      <c r="E77" s="186">
        <v>0</v>
      </c>
      <c r="F77" s="186">
        <v>0</v>
      </c>
      <c r="G77" s="186">
        <v>0</v>
      </c>
      <c r="H77" s="186">
        <v>0</v>
      </c>
      <c r="I77" s="116">
        <f t="shared" si="23"/>
        <v>0</v>
      </c>
      <c r="J77" s="116" t="e">
        <f t="shared" si="26"/>
        <v>#DIV/0!</v>
      </c>
      <c r="K77" s="47">
        <f t="shared" si="27"/>
        <v>0</v>
      </c>
      <c r="L77" s="116">
        <f t="shared" si="24"/>
        <v>0</v>
      </c>
      <c r="M77" s="116" t="e">
        <f t="shared" si="28"/>
        <v>#DIV/0!</v>
      </c>
      <c r="N77" s="47">
        <f t="shared" si="29"/>
        <v>0</v>
      </c>
      <c r="O77" s="116">
        <f t="shared" si="25"/>
        <v>0</v>
      </c>
      <c r="P77" s="116" t="e">
        <f t="shared" si="30"/>
        <v>#DIV/0!</v>
      </c>
      <c r="Q77" s="47">
        <f t="shared" si="31"/>
        <v>0</v>
      </c>
      <c r="R77" s="30">
        <f aca="true" t="shared" si="32" ref="R77:R143">F77/615135*100</f>
        <v>0</v>
      </c>
      <c r="T77" s="114">
        <v>680092.4</v>
      </c>
      <c r="U77" s="115">
        <v>625407.2</v>
      </c>
      <c r="V77" s="115">
        <v>642540.6</v>
      </c>
    </row>
    <row r="78" spans="1:22" ht="21" hidden="1">
      <c r="A78" s="207" t="s">
        <v>125</v>
      </c>
      <c r="B78" s="19" t="s">
        <v>126</v>
      </c>
      <c r="C78" s="14"/>
      <c r="D78" s="45"/>
      <c r="E78" s="28"/>
      <c r="F78" s="28"/>
      <c r="G78" s="28"/>
      <c r="H78" s="28"/>
      <c r="I78" s="116">
        <f t="shared" si="23"/>
        <v>0</v>
      </c>
      <c r="J78" s="116" t="e">
        <f t="shared" si="26"/>
        <v>#DIV/0!</v>
      </c>
      <c r="K78" s="47">
        <f t="shared" si="27"/>
        <v>0</v>
      </c>
      <c r="L78" s="116">
        <f t="shared" si="24"/>
        <v>0</v>
      </c>
      <c r="M78" s="116" t="e">
        <f t="shared" si="28"/>
        <v>#DIV/0!</v>
      </c>
      <c r="N78" s="47">
        <f t="shared" si="29"/>
        <v>0</v>
      </c>
      <c r="O78" s="116">
        <f t="shared" si="25"/>
        <v>0</v>
      </c>
      <c r="P78" s="116" t="e">
        <f t="shared" si="30"/>
        <v>#DIV/0!</v>
      </c>
      <c r="Q78" s="47">
        <f t="shared" si="31"/>
        <v>0</v>
      </c>
      <c r="R78" s="30">
        <f t="shared" si="32"/>
        <v>0</v>
      </c>
      <c r="T78" s="114">
        <v>680092.4</v>
      </c>
      <c r="U78" s="115">
        <v>625407.2</v>
      </c>
      <c r="V78" s="115">
        <v>642540.6</v>
      </c>
    </row>
    <row r="79" spans="1:22" ht="39" hidden="1">
      <c r="A79" s="207" t="s">
        <v>127</v>
      </c>
      <c r="B79" s="19" t="s">
        <v>128</v>
      </c>
      <c r="C79" s="14"/>
      <c r="D79" s="45"/>
      <c r="E79" s="28"/>
      <c r="F79" s="28"/>
      <c r="G79" s="28"/>
      <c r="H79" s="28"/>
      <c r="I79" s="116">
        <f t="shared" si="23"/>
        <v>0</v>
      </c>
      <c r="J79" s="116" t="e">
        <f t="shared" si="26"/>
        <v>#DIV/0!</v>
      </c>
      <c r="K79" s="47">
        <f t="shared" si="27"/>
        <v>0</v>
      </c>
      <c r="L79" s="116">
        <f t="shared" si="24"/>
        <v>0</v>
      </c>
      <c r="M79" s="116" t="e">
        <f t="shared" si="28"/>
        <v>#DIV/0!</v>
      </c>
      <c r="N79" s="47">
        <f t="shared" si="29"/>
        <v>0</v>
      </c>
      <c r="O79" s="116">
        <f t="shared" si="25"/>
        <v>0</v>
      </c>
      <c r="P79" s="116" t="e">
        <f t="shared" si="30"/>
        <v>#DIV/0!</v>
      </c>
      <c r="Q79" s="47">
        <f t="shared" si="31"/>
        <v>0</v>
      </c>
      <c r="R79" s="30">
        <f t="shared" si="32"/>
        <v>0</v>
      </c>
      <c r="T79" s="114">
        <v>680092.4</v>
      </c>
      <c r="U79" s="115">
        <v>625407.2</v>
      </c>
      <c r="V79" s="115">
        <v>642540.6</v>
      </c>
    </row>
    <row r="80" spans="1:22" s="134" customFormat="1" ht="31.5" customHeight="1">
      <c r="A80" s="126" t="s">
        <v>129</v>
      </c>
      <c r="B80" s="138" t="s">
        <v>268</v>
      </c>
      <c r="C80" s="127">
        <f>C85+C86+C99+C103+C110</f>
        <v>370123.60000000003</v>
      </c>
      <c r="D80" s="122">
        <f>D85+D86+D99+D103+D110</f>
        <v>454369.89999999997</v>
      </c>
      <c r="E80" s="130">
        <f>E85+E86+E91+E99+E103+E110</f>
        <v>453154</v>
      </c>
      <c r="F80" s="130">
        <f>F85+F86+F91+F99+F103+F110</f>
        <v>468051.9</v>
      </c>
      <c r="G80" s="130">
        <f>G85+G86+G91+G99+G103+G110</f>
        <v>456363.4</v>
      </c>
      <c r="H80" s="130">
        <f>H85+H86+H91+H99+H103+H110</f>
        <v>469378.1</v>
      </c>
      <c r="I80" s="129">
        <f t="shared" si="23"/>
        <v>0.6882181009521647</v>
      </c>
      <c r="J80" s="129">
        <f t="shared" si="26"/>
        <v>1.0328760200726463</v>
      </c>
      <c r="K80" s="130">
        <f t="shared" si="27"/>
        <v>14897.900000000023</v>
      </c>
      <c r="L80" s="129">
        <f t="shared" si="24"/>
        <v>0.7297060219325906</v>
      </c>
      <c r="M80" s="129">
        <f t="shared" si="28"/>
        <v>0.9750273420533064</v>
      </c>
      <c r="N80" s="130">
        <f t="shared" si="29"/>
        <v>-11688.5</v>
      </c>
      <c r="O80" s="129">
        <f t="shared" si="25"/>
        <v>0.7305034109906829</v>
      </c>
      <c r="P80" s="129">
        <f t="shared" si="30"/>
        <v>1.0285182817026957</v>
      </c>
      <c r="Q80" s="130">
        <f t="shared" si="31"/>
        <v>13014.699999999953</v>
      </c>
      <c r="R80" s="131">
        <f t="shared" si="32"/>
        <v>76.0892974712868</v>
      </c>
      <c r="S80" s="131">
        <f>F80/E80*100</f>
        <v>103.28760200726464</v>
      </c>
      <c r="T80" s="132">
        <v>680092.4</v>
      </c>
      <c r="U80" s="133">
        <v>625407.2</v>
      </c>
      <c r="V80" s="133">
        <v>642540.6</v>
      </c>
    </row>
    <row r="81" spans="1:22" s="1" customFormat="1" ht="20.25" hidden="1">
      <c r="A81" s="210"/>
      <c r="B81" s="19" t="s">
        <v>130</v>
      </c>
      <c r="C81" s="12"/>
      <c r="D81" s="46"/>
      <c r="E81" s="47"/>
      <c r="F81" s="47"/>
      <c r="G81" s="47"/>
      <c r="H81" s="47"/>
      <c r="I81" s="116">
        <f t="shared" si="23"/>
        <v>0</v>
      </c>
      <c r="J81" s="116" t="e">
        <f t="shared" si="26"/>
        <v>#DIV/0!</v>
      </c>
      <c r="K81" s="47">
        <f t="shared" si="27"/>
        <v>0</v>
      </c>
      <c r="L81" s="116">
        <f t="shared" si="24"/>
        <v>0</v>
      </c>
      <c r="M81" s="116" t="e">
        <f t="shared" si="28"/>
        <v>#DIV/0!</v>
      </c>
      <c r="N81" s="47">
        <f t="shared" si="29"/>
        <v>0</v>
      </c>
      <c r="O81" s="116">
        <f t="shared" si="25"/>
        <v>0</v>
      </c>
      <c r="P81" s="116" t="e">
        <f t="shared" si="30"/>
        <v>#DIV/0!</v>
      </c>
      <c r="Q81" s="47">
        <f t="shared" si="31"/>
        <v>0</v>
      </c>
      <c r="R81" s="30">
        <f t="shared" si="32"/>
        <v>0</v>
      </c>
      <c r="T81" s="114">
        <v>680092.4</v>
      </c>
      <c r="U81" s="115">
        <v>625407.2</v>
      </c>
      <c r="V81" s="115">
        <v>642540.6</v>
      </c>
    </row>
    <row r="82" spans="1:22" s="1" customFormat="1" ht="20.25" hidden="1">
      <c r="A82" s="210"/>
      <c r="B82" s="19" t="s">
        <v>131</v>
      </c>
      <c r="C82" s="12"/>
      <c r="D82" s="46"/>
      <c r="E82" s="47"/>
      <c r="F82" s="47"/>
      <c r="G82" s="47"/>
      <c r="H82" s="47"/>
      <c r="I82" s="116">
        <f t="shared" si="23"/>
        <v>0</v>
      </c>
      <c r="J82" s="116" t="e">
        <f t="shared" si="26"/>
        <v>#DIV/0!</v>
      </c>
      <c r="K82" s="47">
        <f t="shared" si="27"/>
        <v>0</v>
      </c>
      <c r="L82" s="116">
        <f t="shared" si="24"/>
        <v>0</v>
      </c>
      <c r="M82" s="116" t="e">
        <f t="shared" si="28"/>
        <v>#DIV/0!</v>
      </c>
      <c r="N82" s="47">
        <f t="shared" si="29"/>
        <v>0</v>
      </c>
      <c r="O82" s="116">
        <f t="shared" si="25"/>
        <v>0</v>
      </c>
      <c r="P82" s="116" t="e">
        <f t="shared" si="30"/>
        <v>#DIV/0!</v>
      </c>
      <c r="Q82" s="47">
        <f t="shared" si="31"/>
        <v>0</v>
      </c>
      <c r="R82" s="30">
        <f t="shared" si="32"/>
        <v>0</v>
      </c>
      <c r="T82" s="114">
        <v>680092.4</v>
      </c>
      <c r="U82" s="115">
        <v>625407.2</v>
      </c>
      <c r="V82" s="115">
        <v>642540.6</v>
      </c>
    </row>
    <row r="83" spans="1:22" s="1" customFormat="1" ht="20.25" hidden="1">
      <c r="A83" s="210"/>
      <c r="B83" s="19" t="s">
        <v>132</v>
      </c>
      <c r="C83" s="12"/>
      <c r="D83" s="45"/>
      <c r="E83" s="28"/>
      <c r="F83" s="28"/>
      <c r="G83" s="28"/>
      <c r="H83" s="28"/>
      <c r="I83" s="116">
        <f t="shared" si="23"/>
        <v>0</v>
      </c>
      <c r="J83" s="116" t="e">
        <f t="shared" si="26"/>
        <v>#DIV/0!</v>
      </c>
      <c r="K83" s="47">
        <f t="shared" si="27"/>
        <v>0</v>
      </c>
      <c r="L83" s="116">
        <f t="shared" si="24"/>
        <v>0</v>
      </c>
      <c r="M83" s="116" t="e">
        <f t="shared" si="28"/>
        <v>#DIV/0!</v>
      </c>
      <c r="N83" s="47">
        <f t="shared" si="29"/>
        <v>0</v>
      </c>
      <c r="O83" s="116">
        <f t="shared" si="25"/>
        <v>0</v>
      </c>
      <c r="P83" s="116" t="e">
        <f t="shared" si="30"/>
        <v>#DIV/0!</v>
      </c>
      <c r="Q83" s="47">
        <f t="shared" si="31"/>
        <v>0</v>
      </c>
      <c r="R83" s="30">
        <f t="shared" si="32"/>
        <v>0</v>
      </c>
      <c r="T83" s="114">
        <v>680092.4</v>
      </c>
      <c r="U83" s="115">
        <v>625407.2</v>
      </c>
      <c r="V83" s="115">
        <v>642540.6</v>
      </c>
    </row>
    <row r="84" spans="1:22" s="1" customFormat="1" ht="20.25" hidden="1">
      <c r="A84" s="210"/>
      <c r="B84" s="19" t="s">
        <v>133</v>
      </c>
      <c r="C84" s="12"/>
      <c r="D84" s="45"/>
      <c r="E84" s="28"/>
      <c r="F84" s="28"/>
      <c r="G84" s="28"/>
      <c r="H84" s="28"/>
      <c r="I84" s="116">
        <f t="shared" si="23"/>
        <v>0</v>
      </c>
      <c r="J84" s="116" t="e">
        <f t="shared" si="26"/>
        <v>#DIV/0!</v>
      </c>
      <c r="K84" s="47">
        <f t="shared" si="27"/>
        <v>0</v>
      </c>
      <c r="L84" s="116">
        <f t="shared" si="24"/>
        <v>0</v>
      </c>
      <c r="M84" s="116" t="e">
        <f t="shared" si="28"/>
        <v>#DIV/0!</v>
      </c>
      <c r="N84" s="47">
        <f t="shared" si="29"/>
        <v>0</v>
      </c>
      <c r="O84" s="116">
        <f t="shared" si="25"/>
        <v>0</v>
      </c>
      <c r="P84" s="116" t="e">
        <f t="shared" si="30"/>
        <v>#DIV/0!</v>
      </c>
      <c r="Q84" s="47">
        <f t="shared" si="31"/>
        <v>0</v>
      </c>
      <c r="R84" s="30">
        <f t="shared" si="32"/>
        <v>0</v>
      </c>
      <c r="T84" s="114">
        <v>680092.4</v>
      </c>
      <c r="U84" s="115">
        <v>625407.2</v>
      </c>
      <c r="V84" s="115">
        <v>642540.6</v>
      </c>
    </row>
    <row r="85" spans="1:22" s="204" customFormat="1" ht="21">
      <c r="A85" s="207" t="s">
        <v>134</v>
      </c>
      <c r="B85" s="19" t="s">
        <v>11</v>
      </c>
      <c r="C85" s="14">
        <v>96272</v>
      </c>
      <c r="D85" s="45">
        <v>136020</v>
      </c>
      <c r="E85" s="123">
        <f>135445.9</f>
        <v>135445.9</v>
      </c>
      <c r="F85" s="123">
        <f>140839.7</f>
        <v>140839.7</v>
      </c>
      <c r="G85" s="123">
        <f>142928.6-1000</f>
        <v>141928.6</v>
      </c>
      <c r="H85" s="123">
        <f>149560.8-1600-1500</f>
        <v>146460.8</v>
      </c>
      <c r="I85" s="218">
        <f t="shared" si="23"/>
        <v>0.20708906613277844</v>
      </c>
      <c r="J85" s="218">
        <f t="shared" si="26"/>
        <v>1.0398225416937685</v>
      </c>
      <c r="K85" s="219">
        <f t="shared" si="27"/>
        <v>5393.8000000000175</v>
      </c>
      <c r="L85" s="218">
        <f t="shared" si="24"/>
        <v>0.22693790541586348</v>
      </c>
      <c r="M85" s="218">
        <f t="shared" si="28"/>
        <v>1.0077314848015155</v>
      </c>
      <c r="N85" s="219">
        <f t="shared" si="29"/>
        <v>1088.8999999999942</v>
      </c>
      <c r="O85" s="218">
        <f t="shared" si="25"/>
        <v>0.22794014884040012</v>
      </c>
      <c r="P85" s="218">
        <f t="shared" si="30"/>
        <v>1.0319329578393641</v>
      </c>
      <c r="Q85" s="219">
        <f t="shared" si="31"/>
        <v>4532.1999999999825</v>
      </c>
      <c r="R85" s="220">
        <f t="shared" si="32"/>
        <v>22.895738333861672</v>
      </c>
      <c r="T85" s="205">
        <v>680092.4</v>
      </c>
      <c r="U85" s="206">
        <v>625407.2</v>
      </c>
      <c r="V85" s="206">
        <v>642540.6</v>
      </c>
    </row>
    <row r="86" spans="1:22" s="204" customFormat="1" ht="21">
      <c r="A86" s="207" t="s">
        <v>135</v>
      </c>
      <c r="B86" s="19" t="s">
        <v>352</v>
      </c>
      <c r="C86" s="14">
        <f>C88+C94+C95+C98</f>
        <v>249320.80000000002</v>
      </c>
      <c r="D86" s="45">
        <f>D88+D94+D95+D98</f>
        <v>294912.5</v>
      </c>
      <c r="E86" s="123">
        <f>E88</f>
        <v>270754.8</v>
      </c>
      <c r="F86" s="123">
        <f>F88</f>
        <v>270594.3</v>
      </c>
      <c r="G86" s="123">
        <f>G88</f>
        <v>264452.8</v>
      </c>
      <c r="H86" s="123">
        <f>H88</f>
        <v>272160.6</v>
      </c>
      <c r="I86" s="218">
        <f t="shared" si="23"/>
        <v>0.39787872941970825</v>
      </c>
      <c r="J86" s="218">
        <f t="shared" si="26"/>
        <v>0.9994072127253145</v>
      </c>
      <c r="K86" s="219">
        <f t="shared" si="27"/>
        <v>-160.5</v>
      </c>
      <c r="L86" s="218">
        <f t="shared" si="24"/>
        <v>0.4228489854290133</v>
      </c>
      <c r="M86" s="218">
        <f t="shared" si="28"/>
        <v>0.9773036608679488</v>
      </c>
      <c r="N86" s="219">
        <f t="shared" si="29"/>
        <v>-6141.5</v>
      </c>
      <c r="O86" s="218">
        <f t="shared" si="25"/>
        <v>0.42356949895461854</v>
      </c>
      <c r="P86" s="218">
        <f t="shared" si="30"/>
        <v>1.0291462219345002</v>
      </c>
      <c r="Q86" s="219">
        <f t="shared" si="31"/>
        <v>7707.799999999988</v>
      </c>
      <c r="R86" s="220">
        <f t="shared" si="32"/>
        <v>43.98941695725328</v>
      </c>
      <c r="T86" s="205">
        <v>680092.4</v>
      </c>
      <c r="U86" s="206">
        <v>625407.2</v>
      </c>
      <c r="V86" s="206">
        <v>642540.6</v>
      </c>
    </row>
    <row r="87" spans="1:22" ht="21" hidden="1">
      <c r="A87" s="207"/>
      <c r="B87" s="19" t="s">
        <v>136</v>
      </c>
      <c r="C87" s="14"/>
      <c r="D87" s="45"/>
      <c r="E87" s="28"/>
      <c r="F87" s="28"/>
      <c r="G87" s="28"/>
      <c r="H87" s="28"/>
      <c r="I87" s="116">
        <f t="shared" si="23"/>
        <v>0</v>
      </c>
      <c r="J87" s="116" t="e">
        <f t="shared" si="26"/>
        <v>#DIV/0!</v>
      </c>
      <c r="K87" s="47">
        <f t="shared" si="27"/>
        <v>0</v>
      </c>
      <c r="L87" s="116">
        <f t="shared" si="24"/>
        <v>0</v>
      </c>
      <c r="M87" s="116" t="e">
        <f t="shared" si="28"/>
        <v>#DIV/0!</v>
      </c>
      <c r="N87" s="47">
        <f t="shared" si="29"/>
        <v>0</v>
      </c>
      <c r="O87" s="116">
        <f t="shared" si="25"/>
        <v>0</v>
      </c>
      <c r="P87" s="116" t="e">
        <f t="shared" si="30"/>
        <v>#DIV/0!</v>
      </c>
      <c r="Q87" s="47">
        <f t="shared" si="31"/>
        <v>0</v>
      </c>
      <c r="R87" s="30">
        <f t="shared" si="32"/>
        <v>0</v>
      </c>
      <c r="T87" s="114">
        <v>680092.4</v>
      </c>
      <c r="U87" s="115">
        <v>625407.2</v>
      </c>
      <c r="V87" s="115">
        <v>642540.6</v>
      </c>
    </row>
    <row r="88" spans="1:22" ht="20.25">
      <c r="A88" s="200" t="s">
        <v>135</v>
      </c>
      <c r="B88" s="121" t="s">
        <v>353</v>
      </c>
      <c r="C88" s="118">
        <v>236269.2</v>
      </c>
      <c r="D88" s="45">
        <v>284105.9</v>
      </c>
      <c r="E88" s="119">
        <f>281754.3-10999.5</f>
        <v>270754.8</v>
      </c>
      <c r="F88" s="119">
        <f>270594.3</f>
        <v>270594.3</v>
      </c>
      <c r="G88" s="119">
        <f>265952.8-1000-500</f>
        <v>264452.8</v>
      </c>
      <c r="H88" s="119">
        <f>274260.6-1500-600</f>
        <v>272160.6</v>
      </c>
      <c r="I88" s="124">
        <f t="shared" si="23"/>
        <v>0.39787872941970825</v>
      </c>
      <c r="J88" s="124">
        <f t="shared" si="26"/>
        <v>0.9994072127253145</v>
      </c>
      <c r="K88" s="125">
        <f t="shared" si="27"/>
        <v>-160.5</v>
      </c>
      <c r="L88" s="124">
        <f t="shared" si="24"/>
        <v>0.4228489854290133</v>
      </c>
      <c r="M88" s="124">
        <f t="shared" si="28"/>
        <v>0.9773036608679488</v>
      </c>
      <c r="N88" s="125">
        <f t="shared" si="29"/>
        <v>-6141.5</v>
      </c>
      <c r="O88" s="124">
        <f t="shared" si="25"/>
        <v>0.42356949895461854</v>
      </c>
      <c r="P88" s="124">
        <f t="shared" si="30"/>
        <v>1.0291462219345002</v>
      </c>
      <c r="Q88" s="125">
        <f t="shared" si="31"/>
        <v>7707.799999999988</v>
      </c>
      <c r="R88" s="120">
        <f t="shared" si="32"/>
        <v>43.98941695725328</v>
      </c>
      <c r="T88" s="114">
        <v>680092.4</v>
      </c>
      <c r="U88" s="115">
        <v>625407.2</v>
      </c>
      <c r="V88" s="115">
        <v>642540.6</v>
      </c>
    </row>
    <row r="89" spans="1:22" s="204" customFormat="1" ht="20.25">
      <c r="A89" s="200"/>
      <c r="B89" s="188" t="s">
        <v>212</v>
      </c>
      <c r="C89" s="118"/>
      <c r="D89" s="45">
        <f>1588+63.8</f>
        <v>1651.8</v>
      </c>
      <c r="E89" s="40">
        <f>2107.8</f>
        <v>2107.8</v>
      </c>
      <c r="F89" s="40">
        <f>2440.9</f>
        <v>2440.9</v>
      </c>
      <c r="G89" s="40">
        <f>2440.9</f>
        <v>2440.9</v>
      </c>
      <c r="H89" s="40">
        <f>2440.9</f>
        <v>2440.9</v>
      </c>
      <c r="I89" s="201">
        <f t="shared" si="23"/>
        <v>0.003589071132099109</v>
      </c>
      <c r="J89" s="201">
        <f t="shared" si="26"/>
        <v>1.1580320713540184</v>
      </c>
      <c r="K89" s="202">
        <f t="shared" si="27"/>
        <v>333.0999999999999</v>
      </c>
      <c r="L89" s="201">
        <f t="shared" si="24"/>
        <v>0.0039028971844264028</v>
      </c>
      <c r="M89" s="201">
        <f t="shared" si="28"/>
        <v>1</v>
      </c>
      <c r="N89" s="202">
        <f t="shared" si="29"/>
        <v>0</v>
      </c>
      <c r="O89" s="201">
        <f t="shared" si="25"/>
        <v>0.0037988260975259777</v>
      </c>
      <c r="P89" s="201">
        <f t="shared" si="30"/>
        <v>1</v>
      </c>
      <c r="Q89" s="202">
        <f t="shared" si="31"/>
        <v>0</v>
      </c>
      <c r="R89" s="203">
        <f t="shared" si="32"/>
        <v>0.39680720492249677</v>
      </c>
      <c r="T89" s="205">
        <v>680092.4</v>
      </c>
      <c r="U89" s="206">
        <v>625407.2</v>
      </c>
      <c r="V89" s="206">
        <v>642540.6</v>
      </c>
    </row>
    <row r="90" spans="1:22" ht="21" hidden="1">
      <c r="A90" s="207"/>
      <c r="B90" s="19"/>
      <c r="C90" s="14"/>
      <c r="D90" s="45"/>
      <c r="E90" s="123"/>
      <c r="F90" s="123"/>
      <c r="G90" s="123"/>
      <c r="H90" s="123"/>
      <c r="I90" s="116">
        <f t="shared" si="23"/>
        <v>0</v>
      </c>
      <c r="J90" s="116" t="e">
        <f t="shared" si="26"/>
        <v>#DIV/0!</v>
      </c>
      <c r="K90" s="47">
        <f t="shared" si="27"/>
        <v>0</v>
      </c>
      <c r="L90" s="116">
        <f t="shared" si="24"/>
        <v>0</v>
      </c>
      <c r="M90" s="116" t="e">
        <f t="shared" si="28"/>
        <v>#DIV/0!</v>
      </c>
      <c r="N90" s="47">
        <f t="shared" si="29"/>
        <v>0</v>
      </c>
      <c r="O90" s="116">
        <f t="shared" si="25"/>
        <v>0</v>
      </c>
      <c r="P90" s="116" t="e">
        <f t="shared" si="30"/>
        <v>#DIV/0!</v>
      </c>
      <c r="Q90" s="47">
        <f t="shared" si="31"/>
        <v>0</v>
      </c>
      <c r="R90" s="30">
        <f t="shared" si="32"/>
        <v>0</v>
      </c>
      <c r="T90" s="114">
        <v>680092.4</v>
      </c>
      <c r="U90" s="115">
        <v>625407.2</v>
      </c>
      <c r="V90" s="115">
        <v>642540.6</v>
      </c>
    </row>
    <row r="91" spans="1:22" s="221" customFormat="1" ht="21">
      <c r="A91" s="207" t="s">
        <v>320</v>
      </c>
      <c r="B91" s="19" t="s">
        <v>354</v>
      </c>
      <c r="C91" s="14"/>
      <c r="D91" s="194"/>
      <c r="E91" s="123">
        <f>E92+E94+E95</f>
        <v>21602.4</v>
      </c>
      <c r="F91" s="123">
        <f>F92+F94+F95</f>
        <v>30074.9</v>
      </c>
      <c r="G91" s="123">
        <f>G92+G94+G95</f>
        <v>22721.4</v>
      </c>
      <c r="H91" s="123">
        <f>H92+H94+H95</f>
        <v>22921.4</v>
      </c>
      <c r="I91" s="218" t="e">
        <f t="shared" si="23"/>
        <v>#DIV/0!</v>
      </c>
      <c r="J91" s="218">
        <f t="shared" si="26"/>
        <v>1.3922017923934378</v>
      </c>
      <c r="K91" s="219">
        <f t="shared" si="27"/>
        <v>8472.5</v>
      </c>
      <c r="L91" s="218" t="e">
        <f t="shared" si="24"/>
        <v>#DIV/0!</v>
      </c>
      <c r="M91" s="218">
        <f t="shared" si="28"/>
        <v>0.7554937838529804</v>
      </c>
      <c r="N91" s="219">
        <f t="shared" si="29"/>
        <v>-7353.5</v>
      </c>
      <c r="O91" s="218" t="e">
        <f t="shared" si="25"/>
        <v>#DIV/0!</v>
      </c>
      <c r="P91" s="218">
        <f t="shared" si="30"/>
        <v>1.0088022745077327</v>
      </c>
      <c r="Q91" s="219">
        <f t="shared" si="31"/>
        <v>200</v>
      </c>
      <c r="R91" s="220"/>
      <c r="T91" s="222"/>
      <c r="U91" s="223"/>
      <c r="V91" s="223"/>
    </row>
    <row r="92" spans="1:22" ht="20.25">
      <c r="A92" s="200" t="s">
        <v>320</v>
      </c>
      <c r="B92" s="121" t="s">
        <v>353</v>
      </c>
      <c r="C92" s="118"/>
      <c r="D92" s="45"/>
      <c r="E92" s="40">
        <f>10999.5</f>
        <v>10999.5</v>
      </c>
      <c r="F92" s="40">
        <f>13020.3</f>
        <v>13020.3</v>
      </c>
      <c r="G92" s="40">
        <f>11812.4-300</f>
        <v>11512.4</v>
      </c>
      <c r="H92" s="40">
        <f>12312.4-700</f>
        <v>11612.4</v>
      </c>
      <c r="I92" s="116" t="e">
        <f t="shared" si="23"/>
        <v>#DIV/0!</v>
      </c>
      <c r="J92" s="116">
        <f t="shared" si="26"/>
        <v>1.1837174417018954</v>
      </c>
      <c r="K92" s="47">
        <f t="shared" si="27"/>
        <v>2020.7999999999993</v>
      </c>
      <c r="L92" s="116" t="e">
        <f t="shared" si="24"/>
        <v>#DIV/0!</v>
      </c>
      <c r="M92" s="116">
        <f t="shared" si="28"/>
        <v>0.8841885363624494</v>
      </c>
      <c r="N92" s="47">
        <f t="shared" si="29"/>
        <v>-1507.8999999999996</v>
      </c>
      <c r="O92" s="116" t="e">
        <f t="shared" si="25"/>
        <v>#DIV/0!</v>
      </c>
      <c r="P92" s="116">
        <f t="shared" si="30"/>
        <v>1.0086862860915187</v>
      </c>
      <c r="Q92" s="47">
        <f t="shared" si="31"/>
        <v>100</v>
      </c>
      <c r="R92" s="120"/>
      <c r="T92" s="114"/>
      <c r="U92" s="115"/>
      <c r="V92" s="115"/>
    </row>
    <row r="93" spans="1:22" ht="20.25">
      <c r="A93" s="200"/>
      <c r="B93" s="188" t="s">
        <v>212</v>
      </c>
      <c r="C93" s="118"/>
      <c r="D93" s="45"/>
      <c r="E93" s="40">
        <v>15.6</v>
      </c>
      <c r="F93" s="40">
        <v>12.4</v>
      </c>
      <c r="G93" s="40">
        <v>12.4</v>
      </c>
      <c r="H93" s="40">
        <v>12.4</v>
      </c>
      <c r="I93" s="124" t="e">
        <f t="shared" si="23"/>
        <v>#DIV/0!</v>
      </c>
      <c r="J93" s="124">
        <f t="shared" si="26"/>
        <v>0.7948717948717949</v>
      </c>
      <c r="K93" s="125">
        <f t="shared" si="27"/>
        <v>-3.1999999999999993</v>
      </c>
      <c r="L93" s="124" t="e">
        <f t="shared" si="24"/>
        <v>#DIV/0!</v>
      </c>
      <c r="M93" s="124">
        <f t="shared" si="28"/>
        <v>1</v>
      </c>
      <c r="N93" s="125">
        <f t="shared" si="29"/>
        <v>0</v>
      </c>
      <c r="O93" s="124" t="e">
        <f t="shared" si="25"/>
        <v>#DIV/0!</v>
      </c>
      <c r="P93" s="124">
        <f t="shared" si="30"/>
        <v>1</v>
      </c>
      <c r="Q93" s="125">
        <f t="shared" si="31"/>
        <v>0</v>
      </c>
      <c r="R93" s="120"/>
      <c r="T93" s="114"/>
      <c r="U93" s="115"/>
      <c r="V93" s="115"/>
    </row>
    <row r="94" spans="1:22" ht="20.25">
      <c r="A94" s="200" t="s">
        <v>320</v>
      </c>
      <c r="B94" s="121" t="s">
        <v>137</v>
      </c>
      <c r="C94" s="118"/>
      <c r="D94" s="45"/>
      <c r="E94" s="119">
        <v>0</v>
      </c>
      <c r="F94" s="119">
        <v>4535.5</v>
      </c>
      <c r="G94" s="119">
        <v>0</v>
      </c>
      <c r="H94" s="119">
        <v>0</v>
      </c>
      <c r="I94" s="124">
        <f t="shared" si="23"/>
        <v>0.006668946749000577</v>
      </c>
      <c r="J94" s="124" t="e">
        <f t="shared" si="26"/>
        <v>#DIV/0!</v>
      </c>
      <c r="K94" s="125">
        <f t="shared" si="27"/>
        <v>4535.5</v>
      </c>
      <c r="L94" s="124">
        <f t="shared" si="24"/>
        <v>0</v>
      </c>
      <c r="M94" s="124">
        <f t="shared" si="28"/>
        <v>0</v>
      </c>
      <c r="N94" s="125">
        <f t="shared" si="29"/>
        <v>-4535.5</v>
      </c>
      <c r="O94" s="124">
        <f t="shared" si="25"/>
        <v>0</v>
      </c>
      <c r="P94" s="116" t="e">
        <f t="shared" si="30"/>
        <v>#DIV/0!</v>
      </c>
      <c r="Q94" s="47">
        <f t="shared" si="31"/>
        <v>0</v>
      </c>
      <c r="R94" s="120">
        <f t="shared" si="32"/>
        <v>0.7373178245425801</v>
      </c>
      <c r="T94" s="114">
        <v>680092.4</v>
      </c>
      <c r="U94" s="115">
        <v>625407.2</v>
      </c>
      <c r="V94" s="115">
        <v>642540.6</v>
      </c>
    </row>
    <row r="95" spans="1:22" ht="20.25">
      <c r="A95" s="200" t="s">
        <v>320</v>
      </c>
      <c r="B95" s="121" t="s">
        <v>363</v>
      </c>
      <c r="C95" s="118">
        <v>10947.9</v>
      </c>
      <c r="D95" s="45">
        <f>10806.6</f>
        <v>10806.6</v>
      </c>
      <c r="E95" s="119">
        <f>10602.9</f>
        <v>10602.9</v>
      </c>
      <c r="F95" s="119">
        <v>12519.1</v>
      </c>
      <c r="G95" s="119">
        <f>11509-300</f>
        <v>11209</v>
      </c>
      <c r="H95" s="119">
        <f>12009-700</f>
        <v>11309</v>
      </c>
      <c r="I95" s="124">
        <f t="shared" si="23"/>
        <v>0.0184079398622893</v>
      </c>
      <c r="J95" s="124">
        <f t="shared" si="26"/>
        <v>1.1807241415084553</v>
      </c>
      <c r="K95" s="125">
        <f t="shared" si="27"/>
        <v>1916.2000000000007</v>
      </c>
      <c r="L95" s="124">
        <f t="shared" si="24"/>
        <v>0.017922722987519173</v>
      </c>
      <c r="M95" s="124">
        <f t="shared" si="28"/>
        <v>0.8953519022932959</v>
      </c>
      <c r="N95" s="125">
        <f t="shared" si="29"/>
        <v>-1310.1000000000004</v>
      </c>
      <c r="O95" s="124">
        <f t="shared" si="25"/>
        <v>0.01760044423651984</v>
      </c>
      <c r="P95" s="124">
        <f t="shared" si="30"/>
        <v>1.0089214024444644</v>
      </c>
      <c r="Q95" s="125">
        <f t="shared" si="31"/>
        <v>100</v>
      </c>
      <c r="R95" s="120">
        <f t="shared" si="32"/>
        <v>2.035179269591228</v>
      </c>
      <c r="T95" s="114">
        <v>680092.4</v>
      </c>
      <c r="U95" s="115">
        <v>625407.2</v>
      </c>
      <c r="V95" s="115">
        <v>642540.6</v>
      </c>
    </row>
    <row r="96" spans="1:22" ht="20.25">
      <c r="A96" s="200"/>
      <c r="B96" s="188" t="s">
        <v>212</v>
      </c>
      <c r="C96" s="118"/>
      <c r="D96" s="45">
        <f>5+1</f>
        <v>6</v>
      </c>
      <c r="E96" s="40">
        <f>10</f>
        <v>10</v>
      </c>
      <c r="F96" s="40">
        <v>9</v>
      </c>
      <c r="G96" s="40">
        <v>9</v>
      </c>
      <c r="H96" s="40">
        <v>9</v>
      </c>
      <c r="I96" s="124">
        <f t="shared" si="23"/>
        <v>1.3233495919083936E-05</v>
      </c>
      <c r="J96" s="124">
        <f t="shared" si="26"/>
        <v>0.9</v>
      </c>
      <c r="K96" s="125">
        <f t="shared" si="27"/>
        <v>-1</v>
      </c>
      <c r="L96" s="124">
        <f t="shared" si="24"/>
        <v>1.4390624220507856E-05</v>
      </c>
      <c r="M96" s="124">
        <f t="shared" si="28"/>
        <v>1</v>
      </c>
      <c r="N96" s="125">
        <f t="shared" si="29"/>
        <v>0</v>
      </c>
      <c r="O96" s="124">
        <f t="shared" si="25"/>
        <v>1.4006896996080872E-05</v>
      </c>
      <c r="P96" s="124">
        <f t="shared" si="30"/>
        <v>1</v>
      </c>
      <c r="Q96" s="125">
        <f t="shared" si="31"/>
        <v>0</v>
      </c>
      <c r="R96" s="120">
        <f t="shared" si="32"/>
        <v>0.0014630934672876686</v>
      </c>
      <c r="T96" s="114">
        <v>680092.4</v>
      </c>
      <c r="U96" s="115">
        <v>625407.2</v>
      </c>
      <c r="V96" s="115">
        <v>642540.6</v>
      </c>
    </row>
    <row r="97" spans="1:22" ht="21" hidden="1">
      <c r="A97" s="207"/>
      <c r="B97" s="19"/>
      <c r="C97" s="14"/>
      <c r="D97" s="45"/>
      <c r="E97" s="123"/>
      <c r="F97" s="123"/>
      <c r="G97" s="123"/>
      <c r="H97" s="123"/>
      <c r="I97" s="116">
        <f t="shared" si="23"/>
        <v>0</v>
      </c>
      <c r="J97" s="116" t="e">
        <f t="shared" si="26"/>
        <v>#DIV/0!</v>
      </c>
      <c r="K97" s="47">
        <f t="shared" si="27"/>
        <v>0</v>
      </c>
      <c r="L97" s="116">
        <f t="shared" si="24"/>
        <v>0</v>
      </c>
      <c r="M97" s="116" t="e">
        <f t="shared" si="28"/>
        <v>#DIV/0!</v>
      </c>
      <c r="N97" s="47">
        <f t="shared" si="29"/>
        <v>0</v>
      </c>
      <c r="O97" s="116">
        <f t="shared" si="25"/>
        <v>0</v>
      </c>
      <c r="P97" s="116" t="e">
        <f t="shared" si="30"/>
        <v>#DIV/0!</v>
      </c>
      <c r="Q97" s="47">
        <f t="shared" si="31"/>
        <v>0</v>
      </c>
      <c r="R97" s="30">
        <f t="shared" si="32"/>
        <v>0</v>
      </c>
      <c r="T97" s="114">
        <v>680092.4</v>
      </c>
      <c r="U97" s="115">
        <v>625407.2</v>
      </c>
      <c r="V97" s="115">
        <v>642540.6</v>
      </c>
    </row>
    <row r="98" spans="1:22" ht="78" hidden="1">
      <c r="A98" s="207"/>
      <c r="B98" s="19" t="s">
        <v>138</v>
      </c>
      <c r="C98" s="14">
        <v>2103.7</v>
      </c>
      <c r="D98" s="45">
        <v>0</v>
      </c>
      <c r="E98" s="28">
        <v>0</v>
      </c>
      <c r="F98" s="28">
        <v>0</v>
      </c>
      <c r="G98" s="28">
        <v>0</v>
      </c>
      <c r="H98" s="28">
        <v>0</v>
      </c>
      <c r="I98" s="116">
        <f t="shared" si="23"/>
        <v>0</v>
      </c>
      <c r="J98" s="116" t="e">
        <f t="shared" si="26"/>
        <v>#DIV/0!</v>
      </c>
      <c r="K98" s="47">
        <f t="shared" si="27"/>
        <v>0</v>
      </c>
      <c r="L98" s="116">
        <f t="shared" si="24"/>
        <v>0</v>
      </c>
      <c r="M98" s="116" t="e">
        <f t="shared" si="28"/>
        <v>#DIV/0!</v>
      </c>
      <c r="N98" s="47">
        <f t="shared" si="29"/>
        <v>0</v>
      </c>
      <c r="O98" s="116">
        <f t="shared" si="25"/>
        <v>0</v>
      </c>
      <c r="P98" s="116" t="e">
        <f t="shared" si="30"/>
        <v>#DIV/0!</v>
      </c>
      <c r="Q98" s="47">
        <f t="shared" si="31"/>
        <v>0</v>
      </c>
      <c r="R98" s="30">
        <f t="shared" si="32"/>
        <v>0</v>
      </c>
      <c r="T98" s="114">
        <v>680092.4</v>
      </c>
      <c r="U98" s="115">
        <v>625407.2</v>
      </c>
      <c r="V98" s="115">
        <v>642540.6</v>
      </c>
    </row>
    <row r="99" spans="1:22" ht="21" hidden="1">
      <c r="A99" s="207" t="s">
        <v>139</v>
      </c>
      <c r="B99" s="19" t="s">
        <v>140</v>
      </c>
      <c r="C99" s="14">
        <f>300</f>
        <v>300</v>
      </c>
      <c r="D99" s="45">
        <v>0</v>
      </c>
      <c r="E99" s="28">
        <v>0</v>
      </c>
      <c r="F99" s="28">
        <v>0</v>
      </c>
      <c r="G99" s="28">
        <v>0</v>
      </c>
      <c r="H99" s="28">
        <v>0</v>
      </c>
      <c r="I99" s="116">
        <f t="shared" si="23"/>
        <v>0</v>
      </c>
      <c r="J99" s="116" t="e">
        <f t="shared" si="26"/>
        <v>#DIV/0!</v>
      </c>
      <c r="K99" s="47">
        <f t="shared" si="27"/>
        <v>0</v>
      </c>
      <c r="L99" s="116">
        <f t="shared" si="24"/>
        <v>0</v>
      </c>
      <c r="M99" s="116" t="e">
        <f t="shared" si="28"/>
        <v>#DIV/0!</v>
      </c>
      <c r="N99" s="47">
        <f t="shared" si="29"/>
        <v>0</v>
      </c>
      <c r="O99" s="116">
        <f t="shared" si="25"/>
        <v>0</v>
      </c>
      <c r="P99" s="116" t="e">
        <f t="shared" si="30"/>
        <v>#DIV/0!</v>
      </c>
      <c r="Q99" s="47">
        <f t="shared" si="31"/>
        <v>0</v>
      </c>
      <c r="R99" s="30">
        <f t="shared" si="32"/>
        <v>0</v>
      </c>
      <c r="T99" s="114">
        <v>680092.4</v>
      </c>
      <c r="U99" s="115">
        <v>625407.2</v>
      </c>
      <c r="V99" s="115">
        <v>642540.6</v>
      </c>
    </row>
    <row r="100" spans="1:22" ht="21" hidden="1">
      <c r="A100" s="207"/>
      <c r="B100" s="19" t="s">
        <v>136</v>
      </c>
      <c r="C100" s="14"/>
      <c r="D100" s="45"/>
      <c r="E100" s="28"/>
      <c r="F100" s="28"/>
      <c r="G100" s="28"/>
      <c r="H100" s="28"/>
      <c r="I100" s="116">
        <f t="shared" si="23"/>
        <v>0</v>
      </c>
      <c r="J100" s="116" t="e">
        <f t="shared" si="26"/>
        <v>#DIV/0!</v>
      </c>
      <c r="K100" s="47">
        <f t="shared" si="27"/>
        <v>0</v>
      </c>
      <c r="L100" s="116">
        <f t="shared" si="24"/>
        <v>0</v>
      </c>
      <c r="M100" s="116" t="e">
        <f t="shared" si="28"/>
        <v>#DIV/0!</v>
      </c>
      <c r="N100" s="47">
        <f t="shared" si="29"/>
        <v>0</v>
      </c>
      <c r="O100" s="116">
        <f t="shared" si="25"/>
        <v>0</v>
      </c>
      <c r="P100" s="116" t="e">
        <f t="shared" si="30"/>
        <v>#DIV/0!</v>
      </c>
      <c r="Q100" s="47">
        <f t="shared" si="31"/>
        <v>0</v>
      </c>
      <c r="R100" s="30">
        <f t="shared" si="32"/>
        <v>0</v>
      </c>
      <c r="T100" s="114">
        <v>680092.4</v>
      </c>
      <c r="U100" s="115">
        <v>625407.2</v>
      </c>
      <c r="V100" s="115">
        <v>642540.6</v>
      </c>
    </row>
    <row r="101" spans="1:22" ht="21" hidden="1">
      <c r="A101" s="207"/>
      <c r="B101" s="19" t="s">
        <v>141</v>
      </c>
      <c r="C101" s="14"/>
      <c r="D101" s="45"/>
      <c r="E101" s="28"/>
      <c r="F101" s="28"/>
      <c r="G101" s="28"/>
      <c r="H101" s="28"/>
      <c r="I101" s="116">
        <f t="shared" si="23"/>
        <v>0</v>
      </c>
      <c r="J101" s="116" t="e">
        <f t="shared" si="26"/>
        <v>#DIV/0!</v>
      </c>
      <c r="K101" s="47">
        <f t="shared" si="27"/>
        <v>0</v>
      </c>
      <c r="L101" s="116">
        <f t="shared" si="24"/>
        <v>0</v>
      </c>
      <c r="M101" s="116" t="e">
        <f t="shared" si="28"/>
        <v>#DIV/0!</v>
      </c>
      <c r="N101" s="47">
        <f t="shared" si="29"/>
        <v>0</v>
      </c>
      <c r="O101" s="116">
        <f t="shared" si="25"/>
        <v>0</v>
      </c>
      <c r="P101" s="116" t="e">
        <f t="shared" si="30"/>
        <v>#DIV/0!</v>
      </c>
      <c r="Q101" s="47">
        <f t="shared" si="31"/>
        <v>0</v>
      </c>
      <c r="R101" s="30">
        <f t="shared" si="32"/>
        <v>0</v>
      </c>
      <c r="T101" s="114">
        <v>680092.4</v>
      </c>
      <c r="U101" s="115">
        <v>625407.2</v>
      </c>
      <c r="V101" s="115">
        <v>642540.6</v>
      </c>
    </row>
    <row r="102" spans="1:22" ht="21" hidden="1">
      <c r="A102" s="207"/>
      <c r="B102" s="19" t="s">
        <v>142</v>
      </c>
      <c r="C102" s="14"/>
      <c r="D102" s="45"/>
      <c r="E102" s="28"/>
      <c r="F102" s="28"/>
      <c r="G102" s="28"/>
      <c r="H102" s="28"/>
      <c r="I102" s="116">
        <f t="shared" si="23"/>
        <v>0</v>
      </c>
      <c r="J102" s="116" t="e">
        <f t="shared" si="26"/>
        <v>#DIV/0!</v>
      </c>
      <c r="K102" s="47">
        <f t="shared" si="27"/>
        <v>0</v>
      </c>
      <c r="L102" s="116">
        <f t="shared" si="24"/>
        <v>0</v>
      </c>
      <c r="M102" s="116" t="e">
        <f t="shared" si="28"/>
        <v>#DIV/0!</v>
      </c>
      <c r="N102" s="47">
        <f t="shared" si="29"/>
        <v>0</v>
      </c>
      <c r="O102" s="116">
        <f t="shared" si="25"/>
        <v>0</v>
      </c>
      <c r="P102" s="116" t="e">
        <f t="shared" si="30"/>
        <v>#DIV/0!</v>
      </c>
      <c r="Q102" s="47">
        <f t="shared" si="31"/>
        <v>0</v>
      </c>
      <c r="R102" s="30">
        <f t="shared" si="32"/>
        <v>0</v>
      </c>
      <c r="T102" s="114">
        <v>680092.4</v>
      </c>
      <c r="U102" s="115">
        <v>625407.2</v>
      </c>
      <c r="V102" s="115">
        <v>642540.6</v>
      </c>
    </row>
    <row r="103" spans="1:22" s="204" customFormat="1" ht="39">
      <c r="A103" s="207" t="s">
        <v>143</v>
      </c>
      <c r="B103" s="19" t="s">
        <v>355</v>
      </c>
      <c r="C103" s="14">
        <f aca="true" t="shared" si="33" ref="C103:H103">C105+C106+C107+C108</f>
        <v>6408</v>
      </c>
      <c r="D103" s="45">
        <f t="shared" si="33"/>
        <v>4097.8</v>
      </c>
      <c r="E103" s="123">
        <f t="shared" si="33"/>
        <v>4001.7</v>
      </c>
      <c r="F103" s="123">
        <f t="shared" si="33"/>
        <v>3909.3</v>
      </c>
      <c r="G103" s="123">
        <f t="shared" si="33"/>
        <v>3909.3</v>
      </c>
      <c r="H103" s="123">
        <f t="shared" si="33"/>
        <v>3909.3</v>
      </c>
      <c r="I103" s="218">
        <f t="shared" si="23"/>
        <v>0.005748189510719426</v>
      </c>
      <c r="J103" s="218">
        <f t="shared" si="26"/>
        <v>0.9769098133293351</v>
      </c>
      <c r="K103" s="219">
        <f t="shared" si="27"/>
        <v>-92.39999999999964</v>
      </c>
      <c r="L103" s="218">
        <f t="shared" si="24"/>
        <v>0.006250807473914596</v>
      </c>
      <c r="M103" s="218">
        <f t="shared" si="28"/>
        <v>1</v>
      </c>
      <c r="N103" s="219">
        <f t="shared" si="29"/>
        <v>0</v>
      </c>
      <c r="O103" s="218">
        <f t="shared" si="25"/>
        <v>0.0060841291585309945</v>
      </c>
      <c r="P103" s="218">
        <f t="shared" si="30"/>
        <v>1</v>
      </c>
      <c r="Q103" s="219">
        <f t="shared" si="31"/>
        <v>0</v>
      </c>
      <c r="R103" s="220">
        <f t="shared" si="32"/>
        <v>0.6355190324075204</v>
      </c>
      <c r="T103" s="205">
        <v>680092.4</v>
      </c>
      <c r="U103" s="206">
        <v>625407.2</v>
      </c>
      <c r="V103" s="206">
        <v>642540.6</v>
      </c>
    </row>
    <row r="104" spans="1:22" ht="21" hidden="1">
      <c r="A104" s="207"/>
      <c r="B104" s="19" t="s">
        <v>136</v>
      </c>
      <c r="C104" s="14"/>
      <c r="D104" s="45"/>
      <c r="E104" s="28"/>
      <c r="F104" s="28"/>
      <c r="G104" s="28"/>
      <c r="H104" s="28"/>
      <c r="I104" s="116">
        <f aca="true" t="shared" si="34" ref="I104:I135">F104/T104</f>
        <v>0</v>
      </c>
      <c r="J104" s="116" t="e">
        <f t="shared" si="26"/>
        <v>#DIV/0!</v>
      </c>
      <c r="K104" s="47">
        <f t="shared" si="27"/>
        <v>0</v>
      </c>
      <c r="L104" s="116">
        <f aca="true" t="shared" si="35" ref="L104:L135">G104/U104</f>
        <v>0</v>
      </c>
      <c r="M104" s="116" t="e">
        <f t="shared" si="28"/>
        <v>#DIV/0!</v>
      </c>
      <c r="N104" s="47">
        <f t="shared" si="29"/>
        <v>0</v>
      </c>
      <c r="O104" s="116">
        <f aca="true" t="shared" si="36" ref="O104:O135">H104/V104</f>
        <v>0</v>
      </c>
      <c r="P104" s="116" t="e">
        <f t="shared" si="30"/>
        <v>#DIV/0!</v>
      </c>
      <c r="Q104" s="47">
        <f t="shared" si="31"/>
        <v>0</v>
      </c>
      <c r="R104" s="30">
        <f t="shared" si="32"/>
        <v>0</v>
      </c>
      <c r="T104" s="114">
        <v>680092.4</v>
      </c>
      <c r="U104" s="115">
        <v>625407.2</v>
      </c>
      <c r="V104" s="115">
        <v>642540.6</v>
      </c>
    </row>
    <row r="105" spans="1:22" ht="37.5">
      <c r="A105" s="200"/>
      <c r="B105" s="121" t="s">
        <v>144</v>
      </c>
      <c r="C105" s="118">
        <v>3528.9</v>
      </c>
      <c r="D105" s="45">
        <v>3494.4</v>
      </c>
      <c r="E105" s="119">
        <f>4001.7-347.3</f>
        <v>3654.3999999999996</v>
      </c>
      <c r="F105" s="119">
        <f>900+2600</f>
        <v>3500</v>
      </c>
      <c r="G105" s="119">
        <f>900+2600</f>
        <v>3500</v>
      </c>
      <c r="H105" s="119">
        <f>900+2600</f>
        <v>3500</v>
      </c>
      <c r="I105" s="124">
        <f t="shared" si="34"/>
        <v>0.005146359524088197</v>
      </c>
      <c r="J105" s="124">
        <f t="shared" si="26"/>
        <v>0.9577495621716288</v>
      </c>
      <c r="K105" s="125">
        <f t="shared" si="27"/>
        <v>-154.39999999999964</v>
      </c>
      <c r="L105" s="124">
        <f t="shared" si="35"/>
        <v>0.005596353863530833</v>
      </c>
      <c r="M105" s="124">
        <f t="shared" si="28"/>
        <v>1</v>
      </c>
      <c r="N105" s="125">
        <f t="shared" si="29"/>
        <v>0</v>
      </c>
      <c r="O105" s="124">
        <f t="shared" si="36"/>
        <v>0.005447126609587005</v>
      </c>
      <c r="P105" s="124">
        <f t="shared" si="30"/>
        <v>1</v>
      </c>
      <c r="Q105" s="125">
        <f t="shared" si="31"/>
        <v>0</v>
      </c>
      <c r="R105" s="120">
        <f t="shared" si="32"/>
        <v>0.5689807928340933</v>
      </c>
      <c r="T105" s="114">
        <v>680092.4</v>
      </c>
      <c r="U105" s="115">
        <v>625407.2</v>
      </c>
      <c r="V105" s="115">
        <v>642540.6</v>
      </c>
    </row>
    <row r="106" spans="1:22" ht="37.5">
      <c r="A106" s="200"/>
      <c r="B106" s="121" t="s">
        <v>145</v>
      </c>
      <c r="C106" s="118">
        <f>2879.1</f>
        <v>2879.1</v>
      </c>
      <c r="D106" s="45">
        <f>603.4</f>
        <v>603.4</v>
      </c>
      <c r="E106" s="119">
        <f>347.3-60</f>
        <v>287.3</v>
      </c>
      <c r="F106" s="119">
        <v>329.3</v>
      </c>
      <c r="G106" s="119">
        <v>329.3</v>
      </c>
      <c r="H106" s="119">
        <v>329.3</v>
      </c>
      <c r="I106" s="124">
        <f t="shared" si="34"/>
        <v>0.0004841989117949267</v>
      </c>
      <c r="J106" s="124">
        <f t="shared" si="26"/>
        <v>1.1461886529759833</v>
      </c>
      <c r="K106" s="125">
        <f t="shared" si="27"/>
        <v>42</v>
      </c>
      <c r="L106" s="124">
        <f t="shared" si="35"/>
        <v>0.0005265369506459153</v>
      </c>
      <c r="M106" s="124">
        <f t="shared" si="28"/>
        <v>1</v>
      </c>
      <c r="N106" s="125">
        <f t="shared" si="29"/>
        <v>0</v>
      </c>
      <c r="O106" s="124">
        <f t="shared" si="36"/>
        <v>0.0005124967978677146</v>
      </c>
      <c r="P106" s="124">
        <f t="shared" si="30"/>
        <v>1</v>
      </c>
      <c r="Q106" s="125">
        <f t="shared" si="31"/>
        <v>0</v>
      </c>
      <c r="R106" s="120">
        <f t="shared" si="32"/>
        <v>0.05353296430864769</v>
      </c>
      <c r="T106" s="114">
        <v>680092.4</v>
      </c>
      <c r="U106" s="115">
        <v>625407.2</v>
      </c>
      <c r="V106" s="115">
        <v>642540.6</v>
      </c>
    </row>
    <row r="107" spans="1:22" ht="20.25" hidden="1">
      <c r="A107" s="200"/>
      <c r="B107" s="188" t="s">
        <v>72</v>
      </c>
      <c r="C107" s="118"/>
      <c r="D107" s="45"/>
      <c r="E107" s="119"/>
      <c r="F107" s="119"/>
      <c r="G107" s="119"/>
      <c r="H107" s="119"/>
      <c r="I107" s="124">
        <f t="shared" si="34"/>
        <v>0</v>
      </c>
      <c r="J107" s="124" t="e">
        <f t="shared" si="26"/>
        <v>#DIV/0!</v>
      </c>
      <c r="K107" s="125">
        <f t="shared" si="27"/>
        <v>0</v>
      </c>
      <c r="L107" s="124">
        <f t="shared" si="35"/>
        <v>0</v>
      </c>
      <c r="M107" s="124" t="e">
        <f t="shared" si="28"/>
        <v>#DIV/0!</v>
      </c>
      <c r="N107" s="125">
        <f t="shared" si="29"/>
        <v>0</v>
      </c>
      <c r="O107" s="124">
        <f t="shared" si="36"/>
        <v>0</v>
      </c>
      <c r="P107" s="124" t="e">
        <f t="shared" si="30"/>
        <v>#DIV/0!</v>
      </c>
      <c r="Q107" s="125">
        <f t="shared" si="31"/>
        <v>0</v>
      </c>
      <c r="R107" s="120">
        <f t="shared" si="32"/>
        <v>0</v>
      </c>
      <c r="T107" s="114">
        <v>680092.4</v>
      </c>
      <c r="U107" s="115">
        <v>625407.2</v>
      </c>
      <c r="V107" s="115">
        <v>642540.6</v>
      </c>
    </row>
    <row r="108" spans="1:22" ht="131.25">
      <c r="A108" s="200"/>
      <c r="B108" s="121" t="s">
        <v>356</v>
      </c>
      <c r="C108" s="118">
        <v>0</v>
      </c>
      <c r="D108" s="45">
        <v>0</v>
      </c>
      <c r="E108" s="119">
        <f>E109</f>
        <v>60</v>
      </c>
      <c r="F108" s="119">
        <f>F109</f>
        <v>80</v>
      </c>
      <c r="G108" s="119">
        <f>G109</f>
        <v>80</v>
      </c>
      <c r="H108" s="119">
        <f>H109</f>
        <v>80</v>
      </c>
      <c r="I108" s="124">
        <f t="shared" si="34"/>
        <v>0.00011763107483630165</v>
      </c>
      <c r="J108" s="124">
        <f t="shared" si="26"/>
        <v>1.3333333333333333</v>
      </c>
      <c r="K108" s="125">
        <f t="shared" si="27"/>
        <v>20</v>
      </c>
      <c r="L108" s="124">
        <f t="shared" si="35"/>
        <v>0.0001279166597378476</v>
      </c>
      <c r="M108" s="124">
        <f t="shared" si="28"/>
        <v>1</v>
      </c>
      <c r="N108" s="125">
        <f t="shared" si="29"/>
        <v>0</v>
      </c>
      <c r="O108" s="124">
        <f t="shared" si="36"/>
        <v>0.0001245057510762744</v>
      </c>
      <c r="P108" s="124">
        <f t="shared" si="30"/>
        <v>1</v>
      </c>
      <c r="Q108" s="125">
        <f t="shared" si="31"/>
        <v>0</v>
      </c>
      <c r="R108" s="120">
        <f t="shared" si="32"/>
        <v>0.013005275264779277</v>
      </c>
      <c r="T108" s="114">
        <v>680092.4</v>
      </c>
      <c r="U108" s="115">
        <v>625407.2</v>
      </c>
      <c r="V108" s="115">
        <v>642540.6</v>
      </c>
    </row>
    <row r="109" spans="1:22" ht="136.5" hidden="1">
      <c r="A109" s="207"/>
      <c r="B109" s="19" t="s">
        <v>321</v>
      </c>
      <c r="C109" s="14">
        <v>0</v>
      </c>
      <c r="D109" s="45">
        <v>0</v>
      </c>
      <c r="E109" s="123">
        <f>60</f>
        <v>60</v>
      </c>
      <c r="F109" s="123">
        <f>30+50</f>
        <v>80</v>
      </c>
      <c r="G109" s="123">
        <f>30+50</f>
        <v>80</v>
      </c>
      <c r="H109" s="123">
        <f>30+50</f>
        <v>80</v>
      </c>
      <c r="I109" s="116">
        <f t="shared" si="34"/>
        <v>0.00011763107483630165</v>
      </c>
      <c r="J109" s="116">
        <f t="shared" si="26"/>
        <v>1.3333333333333333</v>
      </c>
      <c r="K109" s="47">
        <f t="shared" si="27"/>
        <v>20</v>
      </c>
      <c r="L109" s="116">
        <f t="shared" si="35"/>
        <v>0.0001279166597378476</v>
      </c>
      <c r="M109" s="116">
        <f t="shared" si="28"/>
        <v>1</v>
      </c>
      <c r="N109" s="47">
        <f t="shared" si="29"/>
        <v>0</v>
      </c>
      <c r="O109" s="116">
        <f t="shared" si="36"/>
        <v>0.0001245057510762744</v>
      </c>
      <c r="P109" s="116">
        <f t="shared" si="30"/>
        <v>1</v>
      </c>
      <c r="Q109" s="47">
        <f t="shared" si="31"/>
        <v>0</v>
      </c>
      <c r="R109" s="30">
        <f t="shared" si="32"/>
        <v>0.013005275264779277</v>
      </c>
      <c r="T109" s="114">
        <v>680092.4</v>
      </c>
      <c r="U109" s="115">
        <v>625407.2</v>
      </c>
      <c r="V109" s="115">
        <v>642540.6</v>
      </c>
    </row>
    <row r="110" spans="1:22" s="204" customFormat="1" ht="21">
      <c r="A110" s="207" t="s">
        <v>146</v>
      </c>
      <c r="B110" s="19" t="s">
        <v>10</v>
      </c>
      <c r="C110" s="14">
        <f aca="true" t="shared" si="37" ref="C110:H110">C112+C113+C114</f>
        <v>17822.8</v>
      </c>
      <c r="D110" s="45">
        <f t="shared" si="37"/>
        <v>19339.600000000002</v>
      </c>
      <c r="E110" s="123">
        <f t="shared" si="37"/>
        <v>21349.2</v>
      </c>
      <c r="F110" s="123">
        <f t="shared" si="37"/>
        <v>22633.7</v>
      </c>
      <c r="G110" s="123">
        <f t="shared" si="37"/>
        <v>23351.3</v>
      </c>
      <c r="H110" s="123">
        <f t="shared" si="37"/>
        <v>23926.000000000004</v>
      </c>
      <c r="I110" s="218">
        <f t="shared" si="34"/>
        <v>0.03328033073153001</v>
      </c>
      <c r="J110" s="218">
        <f t="shared" si="26"/>
        <v>1.0601661888970078</v>
      </c>
      <c r="K110" s="219">
        <f t="shared" si="27"/>
        <v>1284.5</v>
      </c>
      <c r="L110" s="218">
        <f t="shared" si="35"/>
        <v>0.03733775370670501</v>
      </c>
      <c r="M110" s="218">
        <f t="shared" si="28"/>
        <v>1.0317049355606904</v>
      </c>
      <c r="N110" s="219">
        <f t="shared" si="29"/>
        <v>717.5999999999985</v>
      </c>
      <c r="O110" s="218">
        <f t="shared" si="36"/>
        <v>0.03723655750313677</v>
      </c>
      <c r="P110" s="218">
        <f t="shared" si="30"/>
        <v>1.0246110494918914</v>
      </c>
      <c r="Q110" s="219">
        <f t="shared" si="31"/>
        <v>574.7000000000044</v>
      </c>
      <c r="R110" s="220">
        <f t="shared" si="32"/>
        <v>3.6794687345054338</v>
      </c>
      <c r="T110" s="205">
        <v>680092.4</v>
      </c>
      <c r="U110" s="206">
        <v>625407.2</v>
      </c>
      <c r="V110" s="206">
        <v>642540.6</v>
      </c>
    </row>
    <row r="111" spans="1:22" ht="21" hidden="1">
      <c r="A111" s="207"/>
      <c r="B111" s="19" t="s">
        <v>136</v>
      </c>
      <c r="C111" s="14"/>
      <c r="D111" s="45"/>
      <c r="E111" s="28"/>
      <c r="F111" s="28"/>
      <c r="G111" s="28"/>
      <c r="H111" s="28"/>
      <c r="I111" s="116">
        <f t="shared" si="34"/>
        <v>0</v>
      </c>
      <c r="J111" s="116" t="e">
        <f t="shared" si="26"/>
        <v>#DIV/0!</v>
      </c>
      <c r="K111" s="47">
        <f t="shared" si="27"/>
        <v>0</v>
      </c>
      <c r="L111" s="116">
        <f t="shared" si="35"/>
        <v>0</v>
      </c>
      <c r="M111" s="116" t="e">
        <f t="shared" si="28"/>
        <v>#DIV/0!</v>
      </c>
      <c r="N111" s="47">
        <f t="shared" si="29"/>
        <v>0</v>
      </c>
      <c r="O111" s="116">
        <f t="shared" si="36"/>
        <v>0</v>
      </c>
      <c r="P111" s="116" t="e">
        <f t="shared" si="30"/>
        <v>#DIV/0!</v>
      </c>
      <c r="Q111" s="47">
        <f t="shared" si="31"/>
        <v>0</v>
      </c>
      <c r="R111" s="30">
        <f t="shared" si="32"/>
        <v>0</v>
      </c>
      <c r="T111" s="114">
        <v>680092.4</v>
      </c>
      <c r="U111" s="115">
        <v>625407.2</v>
      </c>
      <c r="V111" s="115">
        <v>642540.6</v>
      </c>
    </row>
    <row r="112" spans="1:22" ht="27" customHeight="1">
      <c r="A112" s="200"/>
      <c r="B112" s="121" t="s">
        <v>147</v>
      </c>
      <c r="C112" s="118">
        <v>1989.6</v>
      </c>
      <c r="D112" s="45">
        <v>2409</v>
      </c>
      <c r="E112" s="119">
        <f>2673</f>
        <v>2673</v>
      </c>
      <c r="F112" s="119">
        <f>2975</f>
        <v>2975</v>
      </c>
      <c r="G112" s="119">
        <f>2975</f>
        <v>2975</v>
      </c>
      <c r="H112" s="119">
        <f>2975</f>
        <v>2975</v>
      </c>
      <c r="I112" s="124">
        <f t="shared" si="34"/>
        <v>0.0043744055954749676</v>
      </c>
      <c r="J112" s="124">
        <f t="shared" si="26"/>
        <v>1.112981668537224</v>
      </c>
      <c r="K112" s="125">
        <f t="shared" si="27"/>
        <v>302</v>
      </c>
      <c r="L112" s="124">
        <f t="shared" si="35"/>
        <v>0.004756900784001208</v>
      </c>
      <c r="M112" s="124">
        <f t="shared" si="28"/>
        <v>1</v>
      </c>
      <c r="N112" s="125">
        <f t="shared" si="29"/>
        <v>0</v>
      </c>
      <c r="O112" s="124">
        <f t="shared" si="36"/>
        <v>0.004630057618148955</v>
      </c>
      <c r="P112" s="124">
        <f t="shared" si="30"/>
        <v>1</v>
      </c>
      <c r="Q112" s="125">
        <f t="shared" si="31"/>
        <v>0</v>
      </c>
      <c r="R112" s="120">
        <f t="shared" si="32"/>
        <v>0.48363367390897927</v>
      </c>
      <c r="T112" s="114">
        <v>680092.4</v>
      </c>
      <c r="U112" s="115">
        <v>625407.2</v>
      </c>
      <c r="V112" s="115">
        <v>642540.6</v>
      </c>
    </row>
    <row r="113" spans="1:22" ht="37.5">
      <c r="A113" s="200"/>
      <c r="B113" s="121" t="s">
        <v>148</v>
      </c>
      <c r="C113" s="118">
        <f>14368.5+514.7</f>
        <v>14883.2</v>
      </c>
      <c r="D113" s="45">
        <f>13995.1+1721.2+714.3</f>
        <v>16430.600000000002</v>
      </c>
      <c r="E113" s="119">
        <f>1949.6+16236.6</f>
        <v>18186.2</v>
      </c>
      <c r="F113" s="119">
        <f>16625.2+1842.4+671.1</f>
        <v>19138.7</v>
      </c>
      <c r="G113" s="119">
        <f>17464.3+1842.4+548.1</f>
        <v>19854.8</v>
      </c>
      <c r="H113" s="119">
        <f>18024+1842.4+566.7</f>
        <v>20433.100000000002</v>
      </c>
      <c r="I113" s="124">
        <f t="shared" si="34"/>
        <v>0.02814132314961908</v>
      </c>
      <c r="J113" s="124">
        <f t="shared" si="26"/>
        <v>1.0523748776544852</v>
      </c>
      <c r="K113" s="125">
        <f t="shared" si="27"/>
        <v>952.5</v>
      </c>
      <c r="L113" s="124">
        <f t="shared" si="35"/>
        <v>0.031746996197037705</v>
      </c>
      <c r="M113" s="124">
        <f t="shared" si="28"/>
        <v>1.0374163344427783</v>
      </c>
      <c r="N113" s="125">
        <f t="shared" si="29"/>
        <v>716.0999999999985</v>
      </c>
      <c r="O113" s="124">
        <f t="shared" si="36"/>
        <v>0.031800480778957786</v>
      </c>
      <c r="P113" s="124">
        <f t="shared" si="30"/>
        <v>1.0291264580857022</v>
      </c>
      <c r="Q113" s="125">
        <f t="shared" si="31"/>
        <v>578.3000000000029</v>
      </c>
      <c r="R113" s="120">
        <f t="shared" si="32"/>
        <v>3.1113007713753893</v>
      </c>
      <c r="T113" s="114">
        <v>680092.4</v>
      </c>
      <c r="U113" s="115">
        <v>625407.2</v>
      </c>
      <c r="V113" s="115">
        <v>642540.6</v>
      </c>
    </row>
    <row r="114" spans="1:22" ht="56.25">
      <c r="A114" s="200"/>
      <c r="B114" s="121" t="s">
        <v>357</v>
      </c>
      <c r="C114" s="118">
        <f>950</f>
        <v>950</v>
      </c>
      <c r="D114" s="45">
        <v>500</v>
      </c>
      <c r="E114" s="119">
        <f>550-60</f>
        <v>490</v>
      </c>
      <c r="F114" s="119">
        <f>1191.1-671.1</f>
        <v>519.9999999999999</v>
      </c>
      <c r="G114" s="119">
        <f>1069.6-548.1</f>
        <v>521.4999999999999</v>
      </c>
      <c r="H114" s="119">
        <f>1084.6-566.7</f>
        <v>517.8999999999999</v>
      </c>
      <c r="I114" s="124">
        <f t="shared" si="34"/>
        <v>0.0007646019864359605</v>
      </c>
      <c r="J114" s="124">
        <f t="shared" si="26"/>
        <v>1.0612244897959182</v>
      </c>
      <c r="K114" s="125">
        <f t="shared" si="27"/>
        <v>29.999999999999886</v>
      </c>
      <c r="L114" s="124">
        <f t="shared" si="35"/>
        <v>0.000833856725666094</v>
      </c>
      <c r="M114" s="124">
        <f t="shared" si="28"/>
        <v>1.0028846153846154</v>
      </c>
      <c r="N114" s="125">
        <f t="shared" si="29"/>
        <v>1.5</v>
      </c>
      <c r="O114" s="124">
        <f t="shared" si="36"/>
        <v>0.0008060191060300313</v>
      </c>
      <c r="P114" s="124">
        <f t="shared" si="30"/>
        <v>0.9930968360498561</v>
      </c>
      <c r="Q114" s="125">
        <f t="shared" si="31"/>
        <v>-3.6000000000000227</v>
      </c>
      <c r="R114" s="120">
        <f t="shared" si="32"/>
        <v>0.08453428922106528</v>
      </c>
      <c r="T114" s="114">
        <v>680092.4</v>
      </c>
      <c r="U114" s="115">
        <v>625407.2</v>
      </c>
      <c r="V114" s="115">
        <v>642540.6</v>
      </c>
    </row>
    <row r="115" spans="1:22" ht="58.5" hidden="1">
      <c r="A115" s="207"/>
      <c r="B115" s="19" t="s">
        <v>149</v>
      </c>
      <c r="C115" s="14">
        <f>0</f>
        <v>0</v>
      </c>
      <c r="D115" s="45">
        <f>0</f>
        <v>0</v>
      </c>
      <c r="E115" s="28">
        <f>0</f>
        <v>0</v>
      </c>
      <c r="F115" s="28">
        <f>0</f>
        <v>0</v>
      </c>
      <c r="G115" s="28">
        <f>0</f>
        <v>0</v>
      </c>
      <c r="H115" s="28">
        <f>0</f>
        <v>0</v>
      </c>
      <c r="I115" s="116">
        <f t="shared" si="34"/>
        <v>0</v>
      </c>
      <c r="J115" s="116" t="e">
        <f t="shared" si="26"/>
        <v>#DIV/0!</v>
      </c>
      <c r="K115" s="47">
        <f t="shared" si="27"/>
        <v>0</v>
      </c>
      <c r="L115" s="116">
        <f t="shared" si="35"/>
        <v>0</v>
      </c>
      <c r="M115" s="116" t="e">
        <f t="shared" si="28"/>
        <v>#DIV/0!</v>
      </c>
      <c r="N115" s="47">
        <f t="shared" si="29"/>
        <v>0</v>
      </c>
      <c r="O115" s="116">
        <f t="shared" si="36"/>
        <v>0</v>
      </c>
      <c r="P115" s="116" t="e">
        <f t="shared" si="30"/>
        <v>#DIV/0!</v>
      </c>
      <c r="Q115" s="47">
        <f t="shared" si="31"/>
        <v>0</v>
      </c>
      <c r="R115" s="30">
        <f t="shared" si="32"/>
        <v>0</v>
      </c>
      <c r="T115" s="114">
        <v>680092.4</v>
      </c>
      <c r="U115" s="115">
        <v>625407.2</v>
      </c>
      <c r="V115" s="115">
        <v>642540.6</v>
      </c>
    </row>
    <row r="116" spans="1:22" s="134" customFormat="1" ht="20.25">
      <c r="A116" s="126" t="s">
        <v>150</v>
      </c>
      <c r="B116" s="138" t="s">
        <v>151</v>
      </c>
      <c r="C116" s="127">
        <f aca="true" t="shared" si="38" ref="C116:H116">C117+C123</f>
        <v>66899.4</v>
      </c>
      <c r="D116" s="128">
        <f t="shared" si="38"/>
        <v>62872.8</v>
      </c>
      <c r="E116" s="130">
        <f t="shared" si="38"/>
        <v>66025</v>
      </c>
      <c r="F116" s="130">
        <f t="shared" si="38"/>
        <v>98439.3</v>
      </c>
      <c r="G116" s="130">
        <f t="shared" si="38"/>
        <v>59689.2</v>
      </c>
      <c r="H116" s="130">
        <f t="shared" si="38"/>
        <v>64418.8</v>
      </c>
      <c r="I116" s="129">
        <f t="shared" si="34"/>
        <v>0.14474400831416437</v>
      </c>
      <c r="J116" s="129">
        <f t="shared" si="26"/>
        <v>1.4909397955319954</v>
      </c>
      <c r="K116" s="130">
        <f t="shared" si="27"/>
        <v>32414.300000000003</v>
      </c>
      <c r="L116" s="129">
        <f t="shared" si="35"/>
        <v>0.09544053858030416</v>
      </c>
      <c r="M116" s="129">
        <f t="shared" si="28"/>
        <v>0.6063553885490855</v>
      </c>
      <c r="N116" s="130">
        <f t="shared" si="29"/>
        <v>-38750.100000000006</v>
      </c>
      <c r="O116" s="129">
        <f t="shared" si="36"/>
        <v>0.10025638846790383</v>
      </c>
      <c r="P116" s="129">
        <f t="shared" si="30"/>
        <v>1.0792371149219626</v>
      </c>
      <c r="Q116" s="130">
        <f t="shared" si="31"/>
        <v>4729.600000000006</v>
      </c>
      <c r="R116" s="131">
        <f t="shared" si="32"/>
        <v>16.002877417152334</v>
      </c>
      <c r="S116" s="131">
        <f>F116/E116*100</f>
        <v>149.09397955319955</v>
      </c>
      <c r="T116" s="132">
        <v>680092.4</v>
      </c>
      <c r="U116" s="133">
        <v>625407.2</v>
      </c>
      <c r="V116" s="133">
        <v>642540.6</v>
      </c>
    </row>
    <row r="117" spans="1:22" s="204" customFormat="1" ht="29.25" customHeight="1">
      <c r="A117" s="207" t="s">
        <v>152</v>
      </c>
      <c r="B117" s="19" t="s">
        <v>358</v>
      </c>
      <c r="C117" s="14">
        <f>C119+C120+C121+C122</f>
        <v>62723.5</v>
      </c>
      <c r="D117" s="45">
        <f>D119</f>
        <v>59712.4</v>
      </c>
      <c r="E117" s="123">
        <f>E119</f>
        <v>62555.8</v>
      </c>
      <c r="F117" s="123">
        <f>F119</f>
        <v>79558.3</v>
      </c>
      <c r="G117" s="123">
        <f>G119</f>
        <v>47346.6</v>
      </c>
      <c r="H117" s="123">
        <f>H119</f>
        <v>47246.6</v>
      </c>
      <c r="I117" s="218">
        <f t="shared" si="34"/>
        <v>0.11698160426436173</v>
      </c>
      <c r="J117" s="218">
        <f t="shared" si="26"/>
        <v>1.2717973393354414</v>
      </c>
      <c r="K117" s="219">
        <f t="shared" si="27"/>
        <v>17002.5</v>
      </c>
      <c r="L117" s="218">
        <f t="shared" si="35"/>
        <v>0.0757052365242997</v>
      </c>
      <c r="M117" s="218">
        <f t="shared" si="28"/>
        <v>0.5951182968967411</v>
      </c>
      <c r="N117" s="219">
        <f t="shared" si="29"/>
        <v>-32211.700000000004</v>
      </c>
      <c r="O117" s="218">
        <f t="shared" si="36"/>
        <v>0.07353091773500382</v>
      </c>
      <c r="P117" s="218">
        <f t="shared" si="30"/>
        <v>0.997887915922157</v>
      </c>
      <c r="Q117" s="219">
        <f t="shared" si="31"/>
        <v>-100</v>
      </c>
      <c r="R117" s="220">
        <f t="shared" si="32"/>
        <v>12.933469888723614</v>
      </c>
      <c r="T117" s="205">
        <v>680092.4</v>
      </c>
      <c r="U117" s="206">
        <v>625407.2</v>
      </c>
      <c r="V117" s="206">
        <v>642540.6</v>
      </c>
    </row>
    <row r="118" spans="1:22" ht="21" hidden="1">
      <c r="A118" s="207"/>
      <c r="B118" s="19" t="s">
        <v>93</v>
      </c>
      <c r="C118" s="14"/>
      <c r="D118" s="45"/>
      <c r="E118" s="28"/>
      <c r="F118" s="28"/>
      <c r="G118" s="28"/>
      <c r="H118" s="28"/>
      <c r="I118" s="116">
        <f t="shared" si="34"/>
        <v>0</v>
      </c>
      <c r="J118" s="116" t="e">
        <f t="shared" si="26"/>
        <v>#DIV/0!</v>
      </c>
      <c r="K118" s="47">
        <f t="shared" si="27"/>
        <v>0</v>
      </c>
      <c r="L118" s="116">
        <f t="shared" si="35"/>
        <v>0</v>
      </c>
      <c r="M118" s="116" t="e">
        <f t="shared" si="28"/>
        <v>#DIV/0!</v>
      </c>
      <c r="N118" s="47">
        <f t="shared" si="29"/>
        <v>0</v>
      </c>
      <c r="O118" s="116">
        <f t="shared" si="36"/>
        <v>0</v>
      </c>
      <c r="P118" s="116" t="e">
        <f t="shared" si="30"/>
        <v>#DIV/0!</v>
      </c>
      <c r="Q118" s="47">
        <f t="shared" si="31"/>
        <v>0</v>
      </c>
      <c r="R118" s="30">
        <f t="shared" si="32"/>
        <v>0</v>
      </c>
      <c r="T118" s="114">
        <v>680092.4</v>
      </c>
      <c r="U118" s="115">
        <v>625407.2</v>
      </c>
      <c r="V118" s="115">
        <v>642540.6</v>
      </c>
    </row>
    <row r="119" spans="1:22" ht="37.5">
      <c r="A119" s="200"/>
      <c r="B119" s="195" t="s">
        <v>359</v>
      </c>
      <c r="C119" s="118">
        <f>64123.5-1400</f>
        <v>62723.5</v>
      </c>
      <c r="D119" s="45">
        <v>59712.4</v>
      </c>
      <c r="E119" s="119">
        <f>62555.8</f>
        <v>62555.8</v>
      </c>
      <c r="F119" s="119">
        <f>22258.4+55209.9+2090</f>
        <v>79558.3</v>
      </c>
      <c r="G119" s="119">
        <f>12932.6+35614+1500-300-500-700-700-300-100-100</f>
        <v>47346.6</v>
      </c>
      <c r="H119" s="119">
        <f>13132.6+36514+1000-500-500-1200-500-100-300-300</f>
        <v>47246.6</v>
      </c>
      <c r="I119" s="124">
        <f t="shared" si="34"/>
        <v>0.11698160426436173</v>
      </c>
      <c r="J119" s="124">
        <f t="shared" si="26"/>
        <v>1.2717973393354414</v>
      </c>
      <c r="K119" s="125">
        <f t="shared" si="27"/>
        <v>17002.5</v>
      </c>
      <c r="L119" s="124">
        <f t="shared" si="35"/>
        <v>0.0757052365242997</v>
      </c>
      <c r="M119" s="124">
        <f t="shared" si="28"/>
        <v>0.5951182968967411</v>
      </c>
      <c r="N119" s="125">
        <f t="shared" si="29"/>
        <v>-32211.700000000004</v>
      </c>
      <c r="O119" s="124">
        <f t="shared" si="36"/>
        <v>0.07353091773500382</v>
      </c>
      <c r="P119" s="124">
        <f t="shared" si="30"/>
        <v>0.997887915922157</v>
      </c>
      <c r="Q119" s="125">
        <f t="shared" si="31"/>
        <v>-100</v>
      </c>
      <c r="R119" s="120">
        <f t="shared" si="32"/>
        <v>12.933469888723614</v>
      </c>
      <c r="T119" s="114">
        <v>680092.4</v>
      </c>
      <c r="U119" s="115">
        <v>625407.2</v>
      </c>
      <c r="V119" s="115">
        <v>642540.6</v>
      </c>
    </row>
    <row r="120" spans="1:22" ht="20.25">
      <c r="A120" s="200"/>
      <c r="B120" s="188" t="s">
        <v>212</v>
      </c>
      <c r="C120" s="118"/>
      <c r="D120" s="45">
        <f>79+13</f>
        <v>92</v>
      </c>
      <c r="E120" s="40">
        <f>112.6</f>
        <v>112.6</v>
      </c>
      <c r="F120" s="40">
        <f>24+114</f>
        <v>138</v>
      </c>
      <c r="G120" s="40">
        <f>24+114</f>
        <v>138</v>
      </c>
      <c r="H120" s="40">
        <f>24+114</f>
        <v>138</v>
      </c>
      <c r="I120" s="124">
        <f t="shared" si="34"/>
        <v>0.00020291360409262034</v>
      </c>
      <c r="J120" s="124">
        <f t="shared" si="26"/>
        <v>1.2255772646536414</v>
      </c>
      <c r="K120" s="125">
        <f t="shared" si="27"/>
        <v>25.400000000000006</v>
      </c>
      <c r="L120" s="124">
        <f t="shared" si="35"/>
        <v>0.0002206562380477871</v>
      </c>
      <c r="M120" s="124">
        <f t="shared" si="28"/>
        <v>1</v>
      </c>
      <c r="N120" s="125">
        <f t="shared" si="29"/>
        <v>0</v>
      </c>
      <c r="O120" s="124">
        <f t="shared" si="36"/>
        <v>0.00021477242060657334</v>
      </c>
      <c r="P120" s="124">
        <f t="shared" si="30"/>
        <v>1</v>
      </c>
      <c r="Q120" s="125">
        <f t="shared" si="31"/>
        <v>0</v>
      </c>
      <c r="R120" s="120">
        <f t="shared" si="32"/>
        <v>0.02243409983174425</v>
      </c>
      <c r="T120" s="114">
        <v>680092.4</v>
      </c>
      <c r="U120" s="115">
        <v>625407.2</v>
      </c>
      <c r="V120" s="115">
        <v>642540.6</v>
      </c>
    </row>
    <row r="121" spans="1:22" ht="21" hidden="1">
      <c r="A121" s="207"/>
      <c r="B121" s="15"/>
      <c r="C121" s="14"/>
      <c r="D121" s="45"/>
      <c r="E121" s="123">
        <v>0</v>
      </c>
      <c r="F121" s="123">
        <v>0</v>
      </c>
      <c r="G121" s="123">
        <v>0</v>
      </c>
      <c r="H121" s="123">
        <v>0</v>
      </c>
      <c r="I121" s="116">
        <f t="shared" si="34"/>
        <v>0</v>
      </c>
      <c r="J121" s="116" t="e">
        <f t="shared" si="26"/>
        <v>#DIV/0!</v>
      </c>
      <c r="K121" s="47">
        <f t="shared" si="27"/>
        <v>0</v>
      </c>
      <c r="L121" s="116">
        <f t="shared" si="35"/>
        <v>0</v>
      </c>
      <c r="M121" s="116" t="e">
        <f t="shared" si="28"/>
        <v>#DIV/0!</v>
      </c>
      <c r="N121" s="47">
        <f t="shared" si="29"/>
        <v>0</v>
      </c>
      <c r="O121" s="116">
        <f t="shared" si="36"/>
        <v>0</v>
      </c>
      <c r="P121" s="116" t="e">
        <f t="shared" si="30"/>
        <v>#DIV/0!</v>
      </c>
      <c r="Q121" s="47">
        <f t="shared" si="31"/>
        <v>0</v>
      </c>
      <c r="R121" s="30">
        <f t="shared" si="32"/>
        <v>0</v>
      </c>
      <c r="T121" s="114">
        <v>680092.4</v>
      </c>
      <c r="U121" s="115">
        <v>625407.2</v>
      </c>
      <c r="V121" s="115">
        <v>642540.6</v>
      </c>
    </row>
    <row r="122" spans="1:22" ht="21" hidden="1">
      <c r="A122" s="207"/>
      <c r="B122" s="15" t="s">
        <v>153</v>
      </c>
      <c r="C122" s="14"/>
      <c r="D122" s="45">
        <v>100</v>
      </c>
      <c r="E122" s="123"/>
      <c r="F122" s="123"/>
      <c r="G122" s="123"/>
      <c r="H122" s="123"/>
      <c r="I122" s="116">
        <f t="shared" si="34"/>
        <v>0</v>
      </c>
      <c r="J122" s="116" t="e">
        <f t="shared" si="26"/>
        <v>#DIV/0!</v>
      </c>
      <c r="K122" s="47">
        <f t="shared" si="27"/>
        <v>0</v>
      </c>
      <c r="L122" s="116">
        <f t="shared" si="35"/>
        <v>0</v>
      </c>
      <c r="M122" s="116" t="e">
        <f t="shared" si="28"/>
        <v>#DIV/0!</v>
      </c>
      <c r="N122" s="47">
        <f t="shared" si="29"/>
        <v>0</v>
      </c>
      <c r="O122" s="116">
        <f t="shared" si="36"/>
        <v>0</v>
      </c>
      <c r="P122" s="116" t="e">
        <f t="shared" si="30"/>
        <v>#DIV/0!</v>
      </c>
      <c r="Q122" s="47">
        <f t="shared" si="31"/>
        <v>0</v>
      </c>
      <c r="R122" s="30">
        <f t="shared" si="32"/>
        <v>0</v>
      </c>
      <c r="T122" s="114">
        <v>680092.4</v>
      </c>
      <c r="U122" s="115">
        <v>625407.2</v>
      </c>
      <c r="V122" s="115">
        <v>642540.6</v>
      </c>
    </row>
    <row r="123" spans="1:22" s="204" customFormat="1" ht="21">
      <c r="A123" s="207" t="s">
        <v>154</v>
      </c>
      <c r="B123" s="19" t="s">
        <v>360</v>
      </c>
      <c r="C123" s="14">
        <f aca="true" t="shared" si="39" ref="C123:H123">C125+C126+C127</f>
        <v>4175.9</v>
      </c>
      <c r="D123" s="45">
        <f t="shared" si="39"/>
        <v>3160.4</v>
      </c>
      <c r="E123" s="123">
        <f t="shared" si="39"/>
        <v>3469.2</v>
      </c>
      <c r="F123" s="123">
        <f t="shared" si="39"/>
        <v>18881</v>
      </c>
      <c r="G123" s="123">
        <f t="shared" si="39"/>
        <v>12342.599999999999</v>
      </c>
      <c r="H123" s="123">
        <f t="shared" si="39"/>
        <v>17172.2</v>
      </c>
      <c r="I123" s="218">
        <f t="shared" si="34"/>
        <v>0.027762404049802642</v>
      </c>
      <c r="J123" s="218">
        <f t="shared" si="26"/>
        <v>5.442465121641877</v>
      </c>
      <c r="K123" s="219">
        <f t="shared" si="27"/>
        <v>15411.8</v>
      </c>
      <c r="L123" s="218">
        <f t="shared" si="35"/>
        <v>0.01973530205600447</v>
      </c>
      <c r="M123" s="218">
        <f t="shared" si="28"/>
        <v>0.6537047825856681</v>
      </c>
      <c r="N123" s="219">
        <f t="shared" si="29"/>
        <v>-6538.4000000000015</v>
      </c>
      <c r="O123" s="218">
        <f t="shared" si="36"/>
        <v>0.026725470732899992</v>
      </c>
      <c r="P123" s="218">
        <f t="shared" si="30"/>
        <v>1.391295189020142</v>
      </c>
      <c r="Q123" s="219">
        <f t="shared" si="31"/>
        <v>4829.600000000002</v>
      </c>
      <c r="R123" s="220">
        <f t="shared" si="32"/>
        <v>3.069407528428719</v>
      </c>
      <c r="T123" s="205">
        <v>680092.4</v>
      </c>
      <c r="U123" s="206">
        <v>625407.2</v>
      </c>
      <c r="V123" s="206">
        <v>642540.6</v>
      </c>
    </row>
    <row r="124" spans="1:22" ht="21" hidden="1">
      <c r="A124" s="207"/>
      <c r="B124" s="19" t="s">
        <v>136</v>
      </c>
      <c r="C124" s="14"/>
      <c r="D124" s="45"/>
      <c r="E124" s="28"/>
      <c r="F124" s="28"/>
      <c r="G124" s="28"/>
      <c r="H124" s="28"/>
      <c r="I124" s="116">
        <f t="shared" si="34"/>
        <v>0</v>
      </c>
      <c r="J124" s="116" t="e">
        <f t="shared" si="26"/>
        <v>#DIV/0!</v>
      </c>
      <c r="K124" s="47">
        <f t="shared" si="27"/>
        <v>0</v>
      </c>
      <c r="L124" s="116">
        <f t="shared" si="35"/>
        <v>0</v>
      </c>
      <c r="M124" s="116" t="e">
        <f t="shared" si="28"/>
        <v>#DIV/0!</v>
      </c>
      <c r="N124" s="47">
        <f t="shared" si="29"/>
        <v>0</v>
      </c>
      <c r="O124" s="116">
        <f t="shared" si="36"/>
        <v>0</v>
      </c>
      <c r="P124" s="116" t="e">
        <f t="shared" si="30"/>
        <v>#DIV/0!</v>
      </c>
      <c r="Q124" s="47">
        <f t="shared" si="31"/>
        <v>0</v>
      </c>
      <c r="R124" s="30">
        <f t="shared" si="32"/>
        <v>0</v>
      </c>
      <c r="T124" s="114">
        <v>680092.4</v>
      </c>
      <c r="U124" s="115">
        <v>625407.2</v>
      </c>
      <c r="V124" s="115">
        <v>642540.6</v>
      </c>
    </row>
    <row r="125" spans="1:22" ht="20.25">
      <c r="A125" s="200"/>
      <c r="B125" s="121" t="s">
        <v>156</v>
      </c>
      <c r="C125" s="118">
        <v>758</v>
      </c>
      <c r="D125" s="45">
        <v>732.1</v>
      </c>
      <c r="E125" s="119">
        <f>868.4</f>
        <v>868.4</v>
      </c>
      <c r="F125" s="119">
        <f>910</f>
        <v>910</v>
      </c>
      <c r="G125" s="119">
        <f>943.3</f>
        <v>943.3</v>
      </c>
      <c r="H125" s="119">
        <f>977.8</f>
        <v>977.8</v>
      </c>
      <c r="I125" s="124">
        <f t="shared" si="34"/>
        <v>0.0013380534762629313</v>
      </c>
      <c r="J125" s="124">
        <f t="shared" si="26"/>
        <v>1.0479041916167664</v>
      </c>
      <c r="K125" s="125">
        <f t="shared" si="27"/>
        <v>41.60000000000002</v>
      </c>
      <c r="L125" s="124">
        <f t="shared" si="35"/>
        <v>0.0015082973141338956</v>
      </c>
      <c r="M125" s="124">
        <f t="shared" si="28"/>
        <v>1.0365934065934066</v>
      </c>
      <c r="N125" s="125">
        <f t="shared" si="29"/>
        <v>33.299999999999955</v>
      </c>
      <c r="O125" s="124">
        <f t="shared" si="36"/>
        <v>0.0015217715425297638</v>
      </c>
      <c r="P125" s="124">
        <f t="shared" si="30"/>
        <v>1.0365737305205132</v>
      </c>
      <c r="Q125" s="125">
        <f t="shared" si="31"/>
        <v>34.5</v>
      </c>
      <c r="R125" s="120">
        <f t="shared" si="32"/>
        <v>0.14793500613686428</v>
      </c>
      <c r="T125" s="114">
        <v>680092.4</v>
      </c>
      <c r="U125" s="115">
        <v>625407.2</v>
      </c>
      <c r="V125" s="115">
        <v>642540.6</v>
      </c>
    </row>
    <row r="126" spans="1:22" ht="37.5">
      <c r="A126" s="200"/>
      <c r="B126" s="121" t="s">
        <v>148</v>
      </c>
      <c r="C126" s="118">
        <f>2663.9</f>
        <v>2663.9</v>
      </c>
      <c r="D126" s="45">
        <v>2428.3</v>
      </c>
      <c r="E126" s="119">
        <f>2010.8</f>
        <v>2010.8</v>
      </c>
      <c r="F126" s="119">
        <f>17971-590</f>
        <v>17381</v>
      </c>
      <c r="G126" s="119">
        <f>2699.3+8700-200</f>
        <v>11199.3</v>
      </c>
      <c r="H126" s="119">
        <f>2794.4+13400-200</f>
        <v>15994.4</v>
      </c>
      <c r="I126" s="124">
        <f t="shared" si="34"/>
        <v>0.02555682139662199</v>
      </c>
      <c r="J126" s="124">
        <f t="shared" si="26"/>
        <v>8.643823353889</v>
      </c>
      <c r="K126" s="125">
        <f t="shared" si="27"/>
        <v>15370.2</v>
      </c>
      <c r="L126" s="124">
        <f t="shared" si="35"/>
        <v>0.017907213092525957</v>
      </c>
      <c r="M126" s="124">
        <f t="shared" si="28"/>
        <v>0.6443415223519935</v>
      </c>
      <c r="N126" s="125">
        <f t="shared" si="29"/>
        <v>-6181.700000000001</v>
      </c>
      <c r="O126" s="124">
        <f t="shared" si="36"/>
        <v>0.024892434812679543</v>
      </c>
      <c r="P126" s="124">
        <f t="shared" si="30"/>
        <v>1.428160688614467</v>
      </c>
      <c r="Q126" s="125">
        <f t="shared" si="31"/>
        <v>4795.1</v>
      </c>
      <c r="R126" s="120">
        <f t="shared" si="32"/>
        <v>2.8255586172141074</v>
      </c>
      <c r="T126" s="114">
        <v>680092.4</v>
      </c>
      <c r="U126" s="115">
        <v>625407.2</v>
      </c>
      <c r="V126" s="115">
        <v>642540.6</v>
      </c>
    </row>
    <row r="127" spans="1:22" ht="56.25">
      <c r="A127" s="200"/>
      <c r="B127" s="121" t="s">
        <v>361</v>
      </c>
      <c r="C127" s="118">
        <v>754</v>
      </c>
      <c r="D127" s="45">
        <v>0</v>
      </c>
      <c r="E127" s="119">
        <f>590</f>
        <v>590</v>
      </c>
      <c r="F127" s="119">
        <f>0+590</f>
        <v>590</v>
      </c>
      <c r="G127" s="119">
        <f>0+200</f>
        <v>200</v>
      </c>
      <c r="H127" s="119">
        <f>0+200</f>
        <v>200</v>
      </c>
      <c r="I127" s="124">
        <f t="shared" si="34"/>
        <v>0.0008675291769177246</v>
      </c>
      <c r="J127" s="124">
        <f t="shared" si="26"/>
        <v>1</v>
      </c>
      <c r="K127" s="125">
        <f t="shared" si="27"/>
        <v>0</v>
      </c>
      <c r="L127" s="124">
        <f t="shared" si="35"/>
        <v>0.000319791649344619</v>
      </c>
      <c r="M127" s="124">
        <f t="shared" si="28"/>
        <v>0.3389830508474576</v>
      </c>
      <c r="N127" s="125">
        <f t="shared" si="29"/>
        <v>-390</v>
      </c>
      <c r="O127" s="124">
        <f t="shared" si="36"/>
        <v>0.000311264377690686</v>
      </c>
      <c r="P127" s="124">
        <f t="shared" si="30"/>
        <v>1</v>
      </c>
      <c r="Q127" s="125">
        <f t="shared" si="31"/>
        <v>0</v>
      </c>
      <c r="R127" s="120">
        <f t="shared" si="32"/>
        <v>0.09591390507774716</v>
      </c>
      <c r="T127" s="114">
        <v>680092.4</v>
      </c>
      <c r="U127" s="115">
        <v>625407.2</v>
      </c>
      <c r="V127" s="115">
        <v>642540.6</v>
      </c>
    </row>
    <row r="128" spans="1:22" s="1" customFormat="1" ht="20.25" hidden="1">
      <c r="A128" s="210" t="s">
        <v>158</v>
      </c>
      <c r="B128" s="19" t="s">
        <v>159</v>
      </c>
      <c r="C128" s="12">
        <v>45588.7</v>
      </c>
      <c r="D128" s="46">
        <v>0</v>
      </c>
      <c r="E128" s="47">
        <v>0</v>
      </c>
      <c r="F128" s="47">
        <v>0</v>
      </c>
      <c r="G128" s="47">
        <v>0</v>
      </c>
      <c r="H128" s="47">
        <v>0</v>
      </c>
      <c r="I128" s="116">
        <f t="shared" si="34"/>
        <v>0</v>
      </c>
      <c r="J128" s="116" t="e">
        <f t="shared" si="26"/>
        <v>#DIV/0!</v>
      </c>
      <c r="K128" s="47">
        <f t="shared" si="27"/>
        <v>0</v>
      </c>
      <c r="L128" s="116">
        <f t="shared" si="35"/>
        <v>0</v>
      </c>
      <c r="M128" s="116" t="e">
        <f t="shared" si="28"/>
        <v>#DIV/0!</v>
      </c>
      <c r="N128" s="47">
        <f t="shared" si="29"/>
        <v>0</v>
      </c>
      <c r="O128" s="116">
        <f t="shared" si="36"/>
        <v>0</v>
      </c>
      <c r="P128" s="116" t="e">
        <f t="shared" si="30"/>
        <v>#DIV/0!</v>
      </c>
      <c r="Q128" s="47">
        <f t="shared" si="31"/>
        <v>0</v>
      </c>
      <c r="R128" s="30">
        <f t="shared" si="32"/>
        <v>0</v>
      </c>
      <c r="T128" s="114">
        <v>680092.4</v>
      </c>
      <c r="U128" s="115">
        <v>625407.2</v>
      </c>
      <c r="V128" s="115">
        <v>642540.6</v>
      </c>
    </row>
    <row r="129" spans="1:22" ht="21" hidden="1">
      <c r="A129" s="207" t="s">
        <v>160</v>
      </c>
      <c r="B129" s="19" t="s">
        <v>161</v>
      </c>
      <c r="C129" s="14"/>
      <c r="D129" s="45"/>
      <c r="E129" s="28"/>
      <c r="F129" s="28"/>
      <c r="G129" s="28"/>
      <c r="H129" s="28"/>
      <c r="I129" s="116">
        <f t="shared" si="34"/>
        <v>0</v>
      </c>
      <c r="J129" s="116" t="e">
        <f t="shared" si="26"/>
        <v>#DIV/0!</v>
      </c>
      <c r="K129" s="47">
        <f t="shared" si="27"/>
        <v>0</v>
      </c>
      <c r="L129" s="116">
        <f t="shared" si="35"/>
        <v>0</v>
      </c>
      <c r="M129" s="116" t="e">
        <f t="shared" si="28"/>
        <v>#DIV/0!</v>
      </c>
      <c r="N129" s="47">
        <f t="shared" si="29"/>
        <v>0</v>
      </c>
      <c r="O129" s="116">
        <f t="shared" si="36"/>
        <v>0</v>
      </c>
      <c r="P129" s="116" t="e">
        <f t="shared" si="30"/>
        <v>#DIV/0!</v>
      </c>
      <c r="Q129" s="47">
        <f t="shared" si="31"/>
        <v>0</v>
      </c>
      <c r="R129" s="30">
        <f t="shared" si="32"/>
        <v>0</v>
      </c>
      <c r="T129" s="114">
        <v>680092.4</v>
      </c>
      <c r="U129" s="115">
        <v>625407.2</v>
      </c>
      <c r="V129" s="115">
        <v>642540.6</v>
      </c>
    </row>
    <row r="130" spans="1:22" ht="39" hidden="1">
      <c r="A130" s="207" t="s">
        <v>162</v>
      </c>
      <c r="B130" s="19" t="s">
        <v>163</v>
      </c>
      <c r="C130" s="14"/>
      <c r="D130" s="45"/>
      <c r="E130" s="28"/>
      <c r="F130" s="28"/>
      <c r="G130" s="28"/>
      <c r="H130" s="28"/>
      <c r="I130" s="116">
        <f t="shared" si="34"/>
        <v>0</v>
      </c>
      <c r="J130" s="116" t="e">
        <f t="shared" si="26"/>
        <v>#DIV/0!</v>
      </c>
      <c r="K130" s="47">
        <f t="shared" si="27"/>
        <v>0</v>
      </c>
      <c r="L130" s="116">
        <f t="shared" si="35"/>
        <v>0</v>
      </c>
      <c r="M130" s="116" t="e">
        <f t="shared" si="28"/>
        <v>#DIV/0!</v>
      </c>
      <c r="N130" s="47">
        <f t="shared" si="29"/>
        <v>0</v>
      </c>
      <c r="O130" s="116">
        <f t="shared" si="36"/>
        <v>0</v>
      </c>
      <c r="P130" s="116" t="e">
        <f t="shared" si="30"/>
        <v>#DIV/0!</v>
      </c>
      <c r="Q130" s="47">
        <f t="shared" si="31"/>
        <v>0</v>
      </c>
      <c r="R130" s="30">
        <f t="shared" si="32"/>
        <v>0</v>
      </c>
      <c r="T130" s="114">
        <v>680092.4</v>
      </c>
      <c r="U130" s="115">
        <v>625407.2</v>
      </c>
      <c r="V130" s="115">
        <v>642540.6</v>
      </c>
    </row>
    <row r="131" spans="1:22" ht="39" hidden="1">
      <c r="A131" s="207" t="s">
        <v>164</v>
      </c>
      <c r="B131" s="19" t="s">
        <v>165</v>
      </c>
      <c r="C131" s="14"/>
      <c r="D131" s="45"/>
      <c r="E131" s="28"/>
      <c r="F131" s="28"/>
      <c r="G131" s="28"/>
      <c r="H131" s="28"/>
      <c r="I131" s="116">
        <f t="shared" si="34"/>
        <v>0</v>
      </c>
      <c r="J131" s="116" t="e">
        <f t="shared" si="26"/>
        <v>#DIV/0!</v>
      </c>
      <c r="K131" s="47">
        <f t="shared" si="27"/>
        <v>0</v>
      </c>
      <c r="L131" s="116">
        <f t="shared" si="35"/>
        <v>0</v>
      </c>
      <c r="M131" s="116" t="e">
        <f t="shared" si="28"/>
        <v>#DIV/0!</v>
      </c>
      <c r="N131" s="47">
        <f t="shared" si="29"/>
        <v>0</v>
      </c>
      <c r="O131" s="116">
        <f t="shared" si="36"/>
        <v>0</v>
      </c>
      <c r="P131" s="116" t="e">
        <f t="shared" si="30"/>
        <v>#DIV/0!</v>
      </c>
      <c r="Q131" s="47">
        <f t="shared" si="31"/>
        <v>0</v>
      </c>
      <c r="R131" s="30">
        <f t="shared" si="32"/>
        <v>0</v>
      </c>
      <c r="T131" s="114">
        <v>680092.4</v>
      </c>
      <c r="U131" s="115">
        <v>625407.2</v>
      </c>
      <c r="V131" s="115">
        <v>642540.6</v>
      </c>
    </row>
    <row r="132" spans="1:22" ht="39" hidden="1">
      <c r="A132" s="207" t="s">
        <v>166</v>
      </c>
      <c r="B132" s="19" t="s">
        <v>167</v>
      </c>
      <c r="C132" s="14" t="s">
        <v>168</v>
      </c>
      <c r="D132" s="45" t="s">
        <v>168</v>
      </c>
      <c r="E132" s="28" t="s">
        <v>168</v>
      </c>
      <c r="F132" s="28" t="s">
        <v>168</v>
      </c>
      <c r="G132" s="28" t="s">
        <v>168</v>
      </c>
      <c r="H132" s="28" t="s">
        <v>168</v>
      </c>
      <c r="I132" s="116" t="e">
        <f t="shared" si="34"/>
        <v>#VALUE!</v>
      </c>
      <c r="J132" s="116" t="e">
        <f t="shared" si="26"/>
        <v>#VALUE!</v>
      </c>
      <c r="K132" s="47" t="e">
        <f t="shared" si="27"/>
        <v>#VALUE!</v>
      </c>
      <c r="L132" s="116" t="e">
        <f t="shared" si="35"/>
        <v>#VALUE!</v>
      </c>
      <c r="M132" s="116" t="e">
        <f t="shared" si="28"/>
        <v>#VALUE!</v>
      </c>
      <c r="N132" s="47" t="e">
        <f t="shared" si="29"/>
        <v>#VALUE!</v>
      </c>
      <c r="O132" s="116" t="e">
        <f t="shared" si="36"/>
        <v>#VALUE!</v>
      </c>
      <c r="P132" s="116" t="e">
        <f t="shared" si="30"/>
        <v>#VALUE!</v>
      </c>
      <c r="Q132" s="47" t="e">
        <f t="shared" si="31"/>
        <v>#VALUE!</v>
      </c>
      <c r="R132" s="30" t="e">
        <f t="shared" si="32"/>
        <v>#VALUE!</v>
      </c>
      <c r="T132" s="114">
        <v>680092.4</v>
      </c>
      <c r="U132" s="115">
        <v>625407.2</v>
      </c>
      <c r="V132" s="115">
        <v>642540.6</v>
      </c>
    </row>
    <row r="133" spans="1:22" ht="21" hidden="1">
      <c r="A133" s="207"/>
      <c r="B133" s="19" t="s">
        <v>136</v>
      </c>
      <c r="C133" s="14"/>
      <c r="D133" s="45"/>
      <c r="E133" s="28"/>
      <c r="F133" s="28"/>
      <c r="G133" s="28"/>
      <c r="H133" s="28"/>
      <c r="I133" s="116">
        <f t="shared" si="34"/>
        <v>0</v>
      </c>
      <c r="J133" s="116" t="e">
        <f t="shared" si="26"/>
        <v>#DIV/0!</v>
      </c>
      <c r="K133" s="47">
        <f t="shared" si="27"/>
        <v>0</v>
      </c>
      <c r="L133" s="116">
        <f t="shared" si="35"/>
        <v>0</v>
      </c>
      <c r="M133" s="116" t="e">
        <f t="shared" si="28"/>
        <v>#DIV/0!</v>
      </c>
      <c r="N133" s="47">
        <f t="shared" si="29"/>
        <v>0</v>
      </c>
      <c r="O133" s="116">
        <f t="shared" si="36"/>
        <v>0</v>
      </c>
      <c r="P133" s="116" t="e">
        <f t="shared" si="30"/>
        <v>#DIV/0!</v>
      </c>
      <c r="Q133" s="47">
        <f t="shared" si="31"/>
        <v>0</v>
      </c>
      <c r="R133" s="30">
        <f t="shared" si="32"/>
        <v>0</v>
      </c>
      <c r="T133" s="114">
        <v>680092.4</v>
      </c>
      <c r="U133" s="115">
        <v>625407.2</v>
      </c>
      <c r="V133" s="115">
        <v>642540.6</v>
      </c>
    </row>
    <row r="134" spans="1:22" ht="21" hidden="1">
      <c r="A134" s="207"/>
      <c r="B134" s="19" t="s">
        <v>147</v>
      </c>
      <c r="C134" s="14"/>
      <c r="D134" s="45"/>
      <c r="E134" s="28"/>
      <c r="F134" s="28"/>
      <c r="G134" s="28"/>
      <c r="H134" s="28"/>
      <c r="I134" s="116">
        <f t="shared" si="34"/>
        <v>0</v>
      </c>
      <c r="J134" s="116" t="e">
        <f t="shared" si="26"/>
        <v>#DIV/0!</v>
      </c>
      <c r="K134" s="47">
        <f t="shared" si="27"/>
        <v>0</v>
      </c>
      <c r="L134" s="116">
        <f t="shared" si="35"/>
        <v>0</v>
      </c>
      <c r="M134" s="116" t="e">
        <f t="shared" si="28"/>
        <v>#DIV/0!</v>
      </c>
      <c r="N134" s="47">
        <f t="shared" si="29"/>
        <v>0</v>
      </c>
      <c r="O134" s="116">
        <f t="shared" si="36"/>
        <v>0</v>
      </c>
      <c r="P134" s="116" t="e">
        <f t="shared" si="30"/>
        <v>#DIV/0!</v>
      </c>
      <c r="Q134" s="47">
        <f t="shared" si="31"/>
        <v>0</v>
      </c>
      <c r="R134" s="30">
        <f t="shared" si="32"/>
        <v>0</v>
      </c>
      <c r="T134" s="114">
        <v>680092.4</v>
      </c>
      <c r="U134" s="115">
        <v>625407.2</v>
      </c>
      <c r="V134" s="115">
        <v>642540.6</v>
      </c>
    </row>
    <row r="135" spans="1:22" ht="21" hidden="1">
      <c r="A135" s="207"/>
      <c r="B135" s="19" t="s">
        <v>100</v>
      </c>
      <c r="C135" s="14"/>
      <c r="D135" s="45"/>
      <c r="E135" s="28"/>
      <c r="F135" s="28"/>
      <c r="G135" s="28"/>
      <c r="H135" s="28"/>
      <c r="I135" s="116">
        <f t="shared" si="34"/>
        <v>0</v>
      </c>
      <c r="J135" s="116" t="e">
        <f t="shared" si="26"/>
        <v>#DIV/0!</v>
      </c>
      <c r="K135" s="47">
        <f t="shared" si="27"/>
        <v>0</v>
      </c>
      <c r="L135" s="116">
        <f t="shared" si="35"/>
        <v>0</v>
      </c>
      <c r="M135" s="116" t="e">
        <f t="shared" si="28"/>
        <v>#DIV/0!</v>
      </c>
      <c r="N135" s="47">
        <f t="shared" si="29"/>
        <v>0</v>
      </c>
      <c r="O135" s="116">
        <f t="shared" si="36"/>
        <v>0</v>
      </c>
      <c r="P135" s="116" t="e">
        <f t="shared" si="30"/>
        <v>#DIV/0!</v>
      </c>
      <c r="Q135" s="47">
        <f t="shared" si="31"/>
        <v>0</v>
      </c>
      <c r="R135" s="30">
        <f t="shared" si="32"/>
        <v>0</v>
      </c>
      <c r="T135" s="114">
        <v>680092.4</v>
      </c>
      <c r="U135" s="115">
        <v>625407.2</v>
      </c>
      <c r="V135" s="115">
        <v>642540.6</v>
      </c>
    </row>
    <row r="136" spans="1:22" s="134" customFormat="1" ht="20.25">
      <c r="A136" s="126" t="s">
        <v>169</v>
      </c>
      <c r="B136" s="138" t="s">
        <v>170</v>
      </c>
      <c r="C136" s="127">
        <f aca="true" t="shared" si="40" ref="C136:H136">C137+C138+C143</f>
        <v>27892.1</v>
      </c>
      <c r="D136" s="128">
        <f t="shared" si="40"/>
        <v>15813.199999999999</v>
      </c>
      <c r="E136" s="130">
        <f t="shared" si="40"/>
        <v>20584</v>
      </c>
      <c r="F136" s="130">
        <f t="shared" si="40"/>
        <v>19916.600000000002</v>
      </c>
      <c r="G136" s="130">
        <f t="shared" si="40"/>
        <v>20438.7</v>
      </c>
      <c r="H136" s="130">
        <f t="shared" si="40"/>
        <v>20964.600000000002</v>
      </c>
      <c r="I136" s="129">
        <f aca="true" t="shared" si="41" ref="I136:I163">F136/T136</f>
        <v>0.02928513831355857</v>
      </c>
      <c r="J136" s="129">
        <f t="shared" si="26"/>
        <v>0.9675767586474933</v>
      </c>
      <c r="K136" s="130">
        <f t="shared" si="27"/>
        <v>-667.3999999999978</v>
      </c>
      <c r="L136" s="129">
        <f aca="true" t="shared" si="42" ref="L136:L163">G136/U136</f>
        <v>0.032680627917299324</v>
      </c>
      <c r="M136" s="129">
        <f t="shared" si="28"/>
        <v>1.0262143136880792</v>
      </c>
      <c r="N136" s="130">
        <f t="shared" si="29"/>
        <v>522.0999999999985</v>
      </c>
      <c r="O136" s="129">
        <f aca="true" t="shared" si="43" ref="O136:O163">H136/V136</f>
        <v>0.03262766586267078</v>
      </c>
      <c r="P136" s="129">
        <f t="shared" si="30"/>
        <v>1.0257305993042611</v>
      </c>
      <c r="Q136" s="130">
        <f t="shared" si="31"/>
        <v>525.9000000000015</v>
      </c>
      <c r="R136" s="131">
        <f t="shared" si="32"/>
        <v>3.237760816731287</v>
      </c>
      <c r="S136" s="131">
        <f>F136/E136*100</f>
        <v>96.75767586474933</v>
      </c>
      <c r="T136" s="132">
        <v>680092.4</v>
      </c>
      <c r="U136" s="133">
        <v>625407.2</v>
      </c>
      <c r="V136" s="133">
        <v>642540.6</v>
      </c>
    </row>
    <row r="137" spans="1:22" s="204" customFormat="1" ht="39">
      <c r="A137" s="207" t="s">
        <v>171</v>
      </c>
      <c r="B137" s="19" t="s">
        <v>364</v>
      </c>
      <c r="C137" s="14">
        <f>1100</f>
        <v>1100</v>
      </c>
      <c r="D137" s="45">
        <v>800</v>
      </c>
      <c r="E137" s="123">
        <f>1100</f>
        <v>1100</v>
      </c>
      <c r="F137" s="123">
        <v>1400</v>
      </c>
      <c r="G137" s="123">
        <v>1400</v>
      </c>
      <c r="H137" s="123">
        <v>1400</v>
      </c>
      <c r="I137" s="218">
        <f t="shared" si="41"/>
        <v>0.002058543809635279</v>
      </c>
      <c r="J137" s="218">
        <f t="shared" si="26"/>
        <v>1.2727272727272727</v>
      </c>
      <c r="K137" s="219">
        <f t="shared" si="27"/>
        <v>300</v>
      </c>
      <c r="L137" s="218">
        <f t="shared" si="42"/>
        <v>0.002238541545412333</v>
      </c>
      <c r="M137" s="218">
        <f t="shared" si="28"/>
        <v>1</v>
      </c>
      <c r="N137" s="219">
        <f t="shared" si="29"/>
        <v>0</v>
      </c>
      <c r="O137" s="218">
        <f t="shared" si="43"/>
        <v>0.0021788506438348023</v>
      </c>
      <c r="P137" s="218">
        <f t="shared" si="30"/>
        <v>1</v>
      </c>
      <c r="Q137" s="219">
        <f t="shared" si="31"/>
        <v>0</v>
      </c>
      <c r="R137" s="220">
        <f t="shared" si="32"/>
        <v>0.22759231713363734</v>
      </c>
      <c r="T137" s="205">
        <v>680092.4</v>
      </c>
      <c r="U137" s="206">
        <v>625407.2</v>
      </c>
      <c r="V137" s="206">
        <v>642540.6</v>
      </c>
    </row>
    <row r="138" spans="1:22" s="204" customFormat="1" ht="21">
      <c r="A138" s="207" t="s">
        <v>173</v>
      </c>
      <c r="B138" s="19" t="s">
        <v>365</v>
      </c>
      <c r="C138" s="14">
        <f aca="true" t="shared" si="44" ref="C138:H138">C139+C140+C141+C142</f>
        <v>24779</v>
      </c>
      <c r="D138" s="45">
        <f t="shared" si="44"/>
        <v>11829.3</v>
      </c>
      <c r="E138" s="123">
        <f t="shared" si="44"/>
        <v>15861.1</v>
      </c>
      <c r="F138" s="123">
        <f t="shared" si="44"/>
        <v>14589.2</v>
      </c>
      <c r="G138" s="123">
        <f t="shared" si="44"/>
        <v>15111.3</v>
      </c>
      <c r="H138" s="123">
        <f t="shared" si="44"/>
        <v>15637.2</v>
      </c>
      <c r="I138" s="218">
        <f t="shared" si="41"/>
        <v>0.02145179096252215</v>
      </c>
      <c r="J138" s="218">
        <f t="shared" si="26"/>
        <v>0.9198101014431534</v>
      </c>
      <c r="K138" s="219">
        <f t="shared" si="27"/>
        <v>-1271.8999999999996</v>
      </c>
      <c r="L138" s="218">
        <f t="shared" si="42"/>
        <v>0.024162337753706707</v>
      </c>
      <c r="M138" s="218">
        <f t="shared" si="28"/>
        <v>1.0357867463603212</v>
      </c>
      <c r="N138" s="219">
        <f t="shared" si="29"/>
        <v>522.0999999999985</v>
      </c>
      <c r="O138" s="218">
        <f t="shared" si="43"/>
        <v>0.024336516634123978</v>
      </c>
      <c r="P138" s="218">
        <f t="shared" si="30"/>
        <v>1.0348017708602173</v>
      </c>
      <c r="Q138" s="219">
        <f t="shared" si="31"/>
        <v>525.9000000000015</v>
      </c>
      <c r="R138" s="220">
        <f t="shared" si="32"/>
        <v>2.3717070236614726</v>
      </c>
      <c r="T138" s="205">
        <v>680092.4</v>
      </c>
      <c r="U138" s="206">
        <v>625407.2</v>
      </c>
      <c r="V138" s="206">
        <v>642540.6</v>
      </c>
    </row>
    <row r="139" spans="1:22" ht="37.5">
      <c r="A139" s="200"/>
      <c r="B139" s="195" t="s">
        <v>367</v>
      </c>
      <c r="C139" s="118">
        <f>23363.4</f>
        <v>23363.4</v>
      </c>
      <c r="D139" s="45">
        <v>11749.3</v>
      </c>
      <c r="E139" s="119">
        <f>15816.1</f>
        <v>15816.1</v>
      </c>
      <c r="F139" s="119">
        <v>14504.2</v>
      </c>
      <c r="G139" s="119">
        <v>15026.3</v>
      </c>
      <c r="H139" s="119">
        <v>15552.2</v>
      </c>
      <c r="I139" s="124">
        <f t="shared" si="41"/>
        <v>0.02132680794550858</v>
      </c>
      <c r="J139" s="124">
        <f t="shared" si="26"/>
        <v>0.9170528764992635</v>
      </c>
      <c r="K139" s="125">
        <f t="shared" si="27"/>
        <v>-1311.8999999999996</v>
      </c>
      <c r="L139" s="124">
        <f t="shared" si="42"/>
        <v>0.024026426302735243</v>
      </c>
      <c r="M139" s="124">
        <f t="shared" si="28"/>
        <v>1.0359964699880033</v>
      </c>
      <c r="N139" s="125">
        <f t="shared" si="29"/>
        <v>522.0999999999985</v>
      </c>
      <c r="O139" s="124">
        <f t="shared" si="43"/>
        <v>0.024204229273605438</v>
      </c>
      <c r="P139" s="124">
        <f t="shared" si="30"/>
        <v>1.0349986357253615</v>
      </c>
      <c r="Q139" s="125">
        <f t="shared" si="31"/>
        <v>525.9000000000015</v>
      </c>
      <c r="R139" s="120">
        <f t="shared" si="32"/>
        <v>2.357888918692645</v>
      </c>
      <c r="T139" s="114">
        <v>680092.4</v>
      </c>
      <c r="U139" s="115">
        <v>625407.2</v>
      </c>
      <c r="V139" s="115">
        <v>642540.6</v>
      </c>
    </row>
    <row r="140" spans="1:22" ht="75">
      <c r="A140" s="200"/>
      <c r="B140" s="195" t="s">
        <v>366</v>
      </c>
      <c r="C140" s="118">
        <v>1315.6</v>
      </c>
      <c r="D140" s="45">
        <v>80</v>
      </c>
      <c r="E140" s="119">
        <f>35</f>
        <v>35</v>
      </c>
      <c r="F140" s="119">
        <v>55</v>
      </c>
      <c r="G140" s="119">
        <v>55</v>
      </c>
      <c r="H140" s="119">
        <v>55</v>
      </c>
      <c r="I140" s="124">
        <f t="shared" si="41"/>
        <v>8.087136394995739E-05</v>
      </c>
      <c r="J140" s="124">
        <f t="shared" si="26"/>
        <v>1.5714285714285714</v>
      </c>
      <c r="K140" s="125">
        <f t="shared" si="27"/>
        <v>20</v>
      </c>
      <c r="L140" s="124">
        <f t="shared" si="42"/>
        <v>8.794270356977023E-05</v>
      </c>
      <c r="M140" s="124">
        <f t="shared" si="28"/>
        <v>1</v>
      </c>
      <c r="N140" s="125">
        <f t="shared" si="29"/>
        <v>0</v>
      </c>
      <c r="O140" s="124">
        <f t="shared" si="43"/>
        <v>8.559770386493865E-05</v>
      </c>
      <c r="P140" s="124">
        <f t="shared" si="30"/>
        <v>1</v>
      </c>
      <c r="Q140" s="125">
        <f t="shared" si="31"/>
        <v>0</v>
      </c>
      <c r="R140" s="120">
        <f t="shared" si="32"/>
        <v>0.008941126744535753</v>
      </c>
      <c r="T140" s="114">
        <v>680092.4</v>
      </c>
      <c r="U140" s="115">
        <v>625407.2</v>
      </c>
      <c r="V140" s="115">
        <v>642540.6</v>
      </c>
    </row>
    <row r="141" spans="1:22" ht="21" hidden="1">
      <c r="A141" s="207"/>
      <c r="B141" s="19" t="s">
        <v>175</v>
      </c>
      <c r="C141" s="14"/>
      <c r="D141" s="45"/>
      <c r="E141" s="28"/>
      <c r="F141" s="28"/>
      <c r="G141" s="28"/>
      <c r="H141" s="28"/>
      <c r="I141" s="116">
        <f t="shared" si="41"/>
        <v>0</v>
      </c>
      <c r="J141" s="116" t="e">
        <f t="shared" si="26"/>
        <v>#DIV/0!</v>
      </c>
      <c r="K141" s="47">
        <f t="shared" si="27"/>
        <v>0</v>
      </c>
      <c r="L141" s="116">
        <f t="shared" si="42"/>
        <v>0</v>
      </c>
      <c r="M141" s="116" t="e">
        <f t="shared" si="28"/>
        <v>#DIV/0!</v>
      </c>
      <c r="N141" s="47">
        <f t="shared" si="29"/>
        <v>0</v>
      </c>
      <c r="O141" s="116">
        <f t="shared" si="43"/>
        <v>0</v>
      </c>
      <c r="P141" s="116" t="e">
        <f t="shared" si="30"/>
        <v>#DIV/0!</v>
      </c>
      <c r="Q141" s="47">
        <f t="shared" si="31"/>
        <v>0</v>
      </c>
      <c r="R141" s="30">
        <f t="shared" si="32"/>
        <v>0</v>
      </c>
      <c r="T141" s="114">
        <v>680092.4</v>
      </c>
      <c r="U141" s="115">
        <v>625407.2</v>
      </c>
      <c r="V141" s="115">
        <v>642540.6</v>
      </c>
    </row>
    <row r="142" spans="1:22" ht="75">
      <c r="A142" s="200"/>
      <c r="B142" s="121" t="s">
        <v>368</v>
      </c>
      <c r="C142" s="118">
        <v>100</v>
      </c>
      <c r="D142" s="45">
        <v>0</v>
      </c>
      <c r="E142" s="119">
        <f>10</f>
        <v>10</v>
      </c>
      <c r="F142" s="119">
        <v>30</v>
      </c>
      <c r="G142" s="119">
        <v>30</v>
      </c>
      <c r="H142" s="119">
        <v>30</v>
      </c>
      <c r="I142" s="124">
        <f t="shared" si="41"/>
        <v>4.411165306361312E-05</v>
      </c>
      <c r="J142" s="124">
        <f aca="true" t="shared" si="45" ref="J142:J163">F142/E142</f>
        <v>3</v>
      </c>
      <c r="K142" s="125">
        <f aca="true" t="shared" si="46" ref="K142:K163">F142-E142</f>
        <v>20</v>
      </c>
      <c r="L142" s="124">
        <f t="shared" si="42"/>
        <v>4.7968747401692855E-05</v>
      </c>
      <c r="M142" s="124">
        <f aca="true" t="shared" si="47" ref="M142:M163">G142/F142</f>
        <v>1</v>
      </c>
      <c r="N142" s="125">
        <f aca="true" t="shared" si="48" ref="N142:N163">G142-F142</f>
        <v>0</v>
      </c>
      <c r="O142" s="124">
        <f t="shared" si="43"/>
        <v>4.6689656653602905E-05</v>
      </c>
      <c r="P142" s="124">
        <f aca="true" t="shared" si="49" ref="P142:P163">H142/G142</f>
        <v>1</v>
      </c>
      <c r="Q142" s="125">
        <f aca="true" t="shared" si="50" ref="Q142:Q163">H142-G142</f>
        <v>0</v>
      </c>
      <c r="R142" s="120">
        <f t="shared" si="32"/>
        <v>0.004876978224292229</v>
      </c>
      <c r="T142" s="114">
        <v>680092.4</v>
      </c>
      <c r="U142" s="115">
        <v>625407.2</v>
      </c>
      <c r="V142" s="115">
        <v>642540.6</v>
      </c>
    </row>
    <row r="143" spans="1:22" s="204" customFormat="1" ht="25.5" customHeight="1">
      <c r="A143" s="207" t="s">
        <v>176</v>
      </c>
      <c r="B143" s="19" t="s">
        <v>13</v>
      </c>
      <c r="C143" s="14">
        <v>2013.1</v>
      </c>
      <c r="D143" s="45">
        <v>3183.9</v>
      </c>
      <c r="E143" s="123">
        <f>3566.7+56.2</f>
        <v>3622.8999999999996</v>
      </c>
      <c r="F143" s="123">
        <f>3851.4+76</f>
        <v>3927.4</v>
      </c>
      <c r="G143" s="123">
        <f>3851.4+76</f>
        <v>3927.4</v>
      </c>
      <c r="H143" s="123">
        <f>3851.4+76</f>
        <v>3927.4</v>
      </c>
      <c r="I143" s="218">
        <f t="shared" si="41"/>
        <v>0.0057748035414011386</v>
      </c>
      <c r="J143" s="218">
        <f t="shared" si="45"/>
        <v>1.084048690275746</v>
      </c>
      <c r="K143" s="219">
        <f t="shared" si="46"/>
        <v>304.50000000000045</v>
      </c>
      <c r="L143" s="218">
        <f t="shared" si="42"/>
        <v>0.006279748618180284</v>
      </c>
      <c r="M143" s="218">
        <f t="shared" si="47"/>
        <v>1</v>
      </c>
      <c r="N143" s="219">
        <f t="shared" si="48"/>
        <v>0</v>
      </c>
      <c r="O143" s="218">
        <f t="shared" si="43"/>
        <v>0.006112298584712001</v>
      </c>
      <c r="P143" s="218">
        <f t="shared" si="49"/>
        <v>1</v>
      </c>
      <c r="Q143" s="219">
        <f t="shared" si="50"/>
        <v>0</v>
      </c>
      <c r="R143" s="220">
        <f t="shared" si="32"/>
        <v>0.6384614759361766</v>
      </c>
      <c r="T143" s="205">
        <v>680092.4</v>
      </c>
      <c r="U143" s="206">
        <v>625407.2</v>
      </c>
      <c r="V143" s="206">
        <v>642540.6</v>
      </c>
    </row>
    <row r="144" spans="1:22" s="135" customFormat="1" ht="32.25" customHeight="1">
      <c r="A144" s="126" t="s">
        <v>177</v>
      </c>
      <c r="B144" s="138" t="s">
        <v>178</v>
      </c>
      <c r="C144" s="127">
        <f aca="true" t="shared" si="51" ref="C144:H144">C145+C149</f>
        <v>21836.399999999998</v>
      </c>
      <c r="D144" s="128">
        <f t="shared" si="51"/>
        <v>581.1</v>
      </c>
      <c r="E144" s="130">
        <f t="shared" si="51"/>
        <v>596.1</v>
      </c>
      <c r="F144" s="130">
        <f t="shared" si="51"/>
        <v>696</v>
      </c>
      <c r="G144" s="130">
        <f t="shared" si="51"/>
        <v>722.3</v>
      </c>
      <c r="H144" s="130">
        <f t="shared" si="51"/>
        <v>749.5</v>
      </c>
      <c r="I144" s="129">
        <f t="shared" si="41"/>
        <v>0.0010233903510758243</v>
      </c>
      <c r="J144" s="129">
        <f t="shared" si="45"/>
        <v>1.16758933064922</v>
      </c>
      <c r="K144" s="130">
        <f t="shared" si="46"/>
        <v>99.89999999999998</v>
      </c>
      <c r="L144" s="129">
        <f t="shared" si="42"/>
        <v>0.0011549275416080915</v>
      </c>
      <c r="M144" s="129">
        <f t="shared" si="47"/>
        <v>1.037787356321839</v>
      </c>
      <c r="N144" s="130">
        <f t="shared" si="48"/>
        <v>26.299999999999955</v>
      </c>
      <c r="O144" s="129">
        <f t="shared" si="43"/>
        <v>0.001166463255395846</v>
      </c>
      <c r="P144" s="129">
        <f t="shared" si="49"/>
        <v>1.037657483040288</v>
      </c>
      <c r="Q144" s="130">
        <f t="shared" si="50"/>
        <v>27.200000000000045</v>
      </c>
      <c r="R144" s="131">
        <f aca="true" t="shared" si="52" ref="R144:R170">F144/615135*100</f>
        <v>0.11314589480357971</v>
      </c>
      <c r="S144" s="131">
        <f>F144/E144*100</f>
        <v>116.758933064922</v>
      </c>
      <c r="T144" s="132">
        <v>680092.4</v>
      </c>
      <c r="U144" s="133">
        <v>625407.2</v>
      </c>
      <c r="V144" s="133">
        <v>642540.6</v>
      </c>
    </row>
    <row r="145" spans="1:22" ht="21" hidden="1">
      <c r="A145" s="207" t="s">
        <v>179</v>
      </c>
      <c r="B145" s="19" t="s">
        <v>180</v>
      </c>
      <c r="C145" s="14">
        <f aca="true" t="shared" si="53" ref="C145:H145">C146+C147+C148</f>
        <v>20922.8</v>
      </c>
      <c r="D145" s="45">
        <f t="shared" si="53"/>
        <v>0</v>
      </c>
      <c r="E145" s="28">
        <f t="shared" si="53"/>
        <v>0</v>
      </c>
      <c r="F145" s="28">
        <f t="shared" si="53"/>
        <v>0</v>
      </c>
      <c r="G145" s="28">
        <f t="shared" si="53"/>
        <v>0</v>
      </c>
      <c r="H145" s="28">
        <f t="shared" si="53"/>
        <v>0</v>
      </c>
      <c r="I145" s="116">
        <f t="shared" si="41"/>
        <v>0</v>
      </c>
      <c r="J145" s="116" t="e">
        <f t="shared" si="45"/>
        <v>#DIV/0!</v>
      </c>
      <c r="K145" s="47">
        <f t="shared" si="46"/>
        <v>0</v>
      </c>
      <c r="L145" s="116">
        <f t="shared" si="42"/>
        <v>0</v>
      </c>
      <c r="M145" s="116" t="e">
        <f t="shared" si="47"/>
        <v>#DIV/0!</v>
      </c>
      <c r="N145" s="47">
        <f t="shared" si="48"/>
        <v>0</v>
      </c>
      <c r="O145" s="116">
        <f t="shared" si="43"/>
        <v>0</v>
      </c>
      <c r="P145" s="116" t="e">
        <f t="shared" si="49"/>
        <v>#DIV/0!</v>
      </c>
      <c r="Q145" s="47">
        <f t="shared" si="50"/>
        <v>0</v>
      </c>
      <c r="R145" s="30">
        <f t="shared" si="52"/>
        <v>0</v>
      </c>
      <c r="T145" s="114">
        <v>680092.4</v>
      </c>
      <c r="U145" s="115">
        <v>625407.2</v>
      </c>
      <c r="V145" s="115">
        <v>642540.6</v>
      </c>
    </row>
    <row r="146" spans="1:22" ht="21" hidden="1">
      <c r="A146" s="207"/>
      <c r="B146" s="19" t="s">
        <v>181</v>
      </c>
      <c r="C146" s="14"/>
      <c r="D146" s="45"/>
      <c r="E146" s="28"/>
      <c r="F146" s="28"/>
      <c r="G146" s="28"/>
      <c r="H146" s="28"/>
      <c r="I146" s="116">
        <f t="shared" si="41"/>
        <v>0</v>
      </c>
      <c r="J146" s="116" t="e">
        <f t="shared" si="45"/>
        <v>#DIV/0!</v>
      </c>
      <c r="K146" s="47">
        <f t="shared" si="46"/>
        <v>0</v>
      </c>
      <c r="L146" s="116">
        <f t="shared" si="42"/>
        <v>0</v>
      </c>
      <c r="M146" s="116" t="e">
        <f t="shared" si="47"/>
        <v>#DIV/0!</v>
      </c>
      <c r="N146" s="47">
        <f t="shared" si="48"/>
        <v>0</v>
      </c>
      <c r="O146" s="116">
        <f t="shared" si="43"/>
        <v>0</v>
      </c>
      <c r="P146" s="116" t="e">
        <f t="shared" si="49"/>
        <v>#DIV/0!</v>
      </c>
      <c r="Q146" s="47">
        <f t="shared" si="50"/>
        <v>0</v>
      </c>
      <c r="R146" s="30">
        <f t="shared" si="52"/>
        <v>0</v>
      </c>
      <c r="T146" s="114">
        <v>680092.4</v>
      </c>
      <c r="U146" s="115">
        <v>625407.2</v>
      </c>
      <c r="V146" s="115">
        <v>642540.6</v>
      </c>
    </row>
    <row r="147" spans="1:22" s="1" customFormat="1" ht="21" hidden="1">
      <c r="A147" s="207"/>
      <c r="B147" s="19"/>
      <c r="C147" s="14"/>
      <c r="D147" s="45"/>
      <c r="E147" s="28"/>
      <c r="F147" s="28"/>
      <c r="G147" s="28"/>
      <c r="H147" s="28"/>
      <c r="I147" s="116">
        <f t="shared" si="41"/>
        <v>0</v>
      </c>
      <c r="J147" s="116" t="e">
        <f t="shared" si="45"/>
        <v>#DIV/0!</v>
      </c>
      <c r="K147" s="47">
        <f t="shared" si="46"/>
        <v>0</v>
      </c>
      <c r="L147" s="116">
        <f t="shared" si="42"/>
        <v>0</v>
      </c>
      <c r="M147" s="116" t="e">
        <f t="shared" si="47"/>
        <v>#DIV/0!</v>
      </c>
      <c r="N147" s="47">
        <f t="shared" si="48"/>
        <v>0</v>
      </c>
      <c r="O147" s="116">
        <f t="shared" si="43"/>
        <v>0</v>
      </c>
      <c r="P147" s="116" t="e">
        <f t="shared" si="49"/>
        <v>#DIV/0!</v>
      </c>
      <c r="Q147" s="47">
        <f t="shared" si="50"/>
        <v>0</v>
      </c>
      <c r="R147" s="30">
        <f t="shared" si="52"/>
        <v>0</v>
      </c>
      <c r="T147" s="114">
        <v>680092.4</v>
      </c>
      <c r="U147" s="115">
        <v>625407.2</v>
      </c>
      <c r="V147" s="115">
        <v>642540.6</v>
      </c>
    </row>
    <row r="148" spans="1:22" ht="97.5" hidden="1">
      <c r="A148" s="207"/>
      <c r="B148" s="19" t="s">
        <v>182</v>
      </c>
      <c r="C148" s="14">
        <f>20922.8</f>
        <v>20922.8</v>
      </c>
      <c r="D148" s="45">
        <v>0</v>
      </c>
      <c r="E148" s="28">
        <v>0</v>
      </c>
      <c r="F148" s="28">
        <v>0</v>
      </c>
      <c r="G148" s="28">
        <v>0</v>
      </c>
      <c r="H148" s="28">
        <v>0</v>
      </c>
      <c r="I148" s="116">
        <f t="shared" si="41"/>
        <v>0</v>
      </c>
      <c r="J148" s="116" t="e">
        <f t="shared" si="45"/>
        <v>#DIV/0!</v>
      </c>
      <c r="K148" s="47">
        <f t="shared" si="46"/>
        <v>0</v>
      </c>
      <c r="L148" s="116">
        <f t="shared" si="42"/>
        <v>0</v>
      </c>
      <c r="M148" s="116" t="e">
        <f t="shared" si="47"/>
        <v>#DIV/0!</v>
      </c>
      <c r="N148" s="47">
        <f t="shared" si="48"/>
        <v>0</v>
      </c>
      <c r="O148" s="116">
        <f t="shared" si="43"/>
        <v>0</v>
      </c>
      <c r="P148" s="116" t="e">
        <f t="shared" si="49"/>
        <v>#DIV/0!</v>
      </c>
      <c r="Q148" s="47">
        <f t="shared" si="50"/>
        <v>0</v>
      </c>
      <c r="R148" s="30">
        <f t="shared" si="52"/>
        <v>0</v>
      </c>
      <c r="T148" s="114">
        <v>680092.4</v>
      </c>
      <c r="U148" s="115">
        <v>625407.2</v>
      </c>
      <c r="V148" s="115">
        <v>642540.6</v>
      </c>
    </row>
    <row r="149" spans="1:22" s="204" customFormat="1" ht="39">
      <c r="A149" s="207" t="s">
        <v>183</v>
      </c>
      <c r="B149" s="19" t="s">
        <v>184</v>
      </c>
      <c r="C149" s="14">
        <f aca="true" t="shared" si="54" ref="C149:H149">C150+C151</f>
        <v>913.6</v>
      </c>
      <c r="D149" s="45">
        <f t="shared" si="54"/>
        <v>581.1</v>
      </c>
      <c r="E149" s="123">
        <f t="shared" si="54"/>
        <v>596.1</v>
      </c>
      <c r="F149" s="123">
        <f t="shared" si="54"/>
        <v>696</v>
      </c>
      <c r="G149" s="123">
        <f t="shared" si="54"/>
        <v>722.3</v>
      </c>
      <c r="H149" s="123">
        <f t="shared" si="54"/>
        <v>749.5</v>
      </c>
      <c r="I149" s="218">
        <f t="shared" si="41"/>
        <v>0.0010233903510758243</v>
      </c>
      <c r="J149" s="218">
        <f t="shared" si="45"/>
        <v>1.16758933064922</v>
      </c>
      <c r="K149" s="219">
        <f t="shared" si="46"/>
        <v>99.89999999999998</v>
      </c>
      <c r="L149" s="218">
        <f t="shared" si="42"/>
        <v>0.0011549275416080915</v>
      </c>
      <c r="M149" s="218">
        <f t="shared" si="47"/>
        <v>1.037787356321839</v>
      </c>
      <c r="N149" s="219">
        <f t="shared" si="48"/>
        <v>26.299999999999955</v>
      </c>
      <c r="O149" s="218">
        <f t="shared" si="43"/>
        <v>0.001166463255395846</v>
      </c>
      <c r="P149" s="218">
        <f t="shared" si="49"/>
        <v>1.037657483040288</v>
      </c>
      <c r="Q149" s="219">
        <f t="shared" si="50"/>
        <v>27.200000000000045</v>
      </c>
      <c r="R149" s="220">
        <f t="shared" si="52"/>
        <v>0.11314589480357971</v>
      </c>
      <c r="T149" s="205">
        <v>680092.4</v>
      </c>
      <c r="U149" s="206">
        <v>625407.2</v>
      </c>
      <c r="V149" s="206">
        <v>642540.6</v>
      </c>
    </row>
    <row r="150" spans="1:22" ht="20.25">
      <c r="A150" s="200"/>
      <c r="B150" s="121" t="s">
        <v>147</v>
      </c>
      <c r="C150" s="118">
        <f>812.6+1</f>
        <v>813.6</v>
      </c>
      <c r="D150" s="45">
        <v>581.1</v>
      </c>
      <c r="E150" s="119">
        <f>596.1</f>
        <v>596.1</v>
      </c>
      <c r="F150" s="119">
        <v>696</v>
      </c>
      <c r="G150" s="119">
        <v>722.3</v>
      </c>
      <c r="H150" s="119">
        <v>749.5</v>
      </c>
      <c r="I150" s="124">
        <f t="shared" si="41"/>
        <v>0.0010233903510758243</v>
      </c>
      <c r="J150" s="124">
        <f t="shared" si="45"/>
        <v>1.16758933064922</v>
      </c>
      <c r="K150" s="125">
        <f t="shared" si="46"/>
        <v>99.89999999999998</v>
      </c>
      <c r="L150" s="124">
        <f t="shared" si="42"/>
        <v>0.0011549275416080915</v>
      </c>
      <c r="M150" s="124">
        <f t="shared" si="47"/>
        <v>1.037787356321839</v>
      </c>
      <c r="N150" s="125">
        <f t="shared" si="48"/>
        <v>26.299999999999955</v>
      </c>
      <c r="O150" s="124">
        <f t="shared" si="43"/>
        <v>0.001166463255395846</v>
      </c>
      <c r="P150" s="124">
        <f t="shared" si="49"/>
        <v>1.037657483040288</v>
      </c>
      <c r="Q150" s="125">
        <f t="shared" si="50"/>
        <v>27.200000000000045</v>
      </c>
      <c r="R150" s="120">
        <f t="shared" si="52"/>
        <v>0.11314589480357971</v>
      </c>
      <c r="T150" s="114">
        <v>680092.4</v>
      </c>
      <c r="U150" s="115">
        <v>625407.2</v>
      </c>
      <c r="V150" s="115">
        <v>642540.6</v>
      </c>
    </row>
    <row r="151" spans="1:22" ht="21" hidden="1">
      <c r="A151" s="207"/>
      <c r="B151" s="19" t="s">
        <v>100</v>
      </c>
      <c r="C151" s="14">
        <v>100</v>
      </c>
      <c r="D151" s="45">
        <v>0</v>
      </c>
      <c r="E151" s="28">
        <v>0</v>
      </c>
      <c r="F151" s="28">
        <v>0</v>
      </c>
      <c r="G151" s="28">
        <v>0</v>
      </c>
      <c r="H151" s="28">
        <v>0</v>
      </c>
      <c r="I151" s="116">
        <f t="shared" si="41"/>
        <v>0</v>
      </c>
      <c r="J151" s="116" t="e">
        <f t="shared" si="45"/>
        <v>#DIV/0!</v>
      </c>
      <c r="K151" s="47">
        <f t="shared" si="46"/>
        <v>0</v>
      </c>
      <c r="L151" s="116">
        <f t="shared" si="42"/>
        <v>0</v>
      </c>
      <c r="M151" s="116" t="e">
        <f t="shared" si="47"/>
        <v>#DIV/0!</v>
      </c>
      <c r="N151" s="47">
        <f t="shared" si="48"/>
        <v>0</v>
      </c>
      <c r="O151" s="116">
        <f t="shared" si="43"/>
        <v>0</v>
      </c>
      <c r="P151" s="116" t="e">
        <f t="shared" si="49"/>
        <v>#DIV/0!</v>
      </c>
      <c r="Q151" s="47">
        <f t="shared" si="50"/>
        <v>0</v>
      </c>
      <c r="R151" s="30">
        <f t="shared" si="52"/>
        <v>0</v>
      </c>
      <c r="T151" s="114">
        <v>680092.4</v>
      </c>
      <c r="U151" s="115">
        <v>625407.2</v>
      </c>
      <c r="V151" s="115">
        <v>642540.6</v>
      </c>
    </row>
    <row r="152" spans="1:22" s="135" customFormat="1" ht="27" customHeight="1">
      <c r="A152" s="126" t="s">
        <v>185</v>
      </c>
      <c r="B152" s="138" t="s">
        <v>186</v>
      </c>
      <c r="C152" s="127">
        <f aca="true" t="shared" si="55" ref="C152:H152">C153</f>
        <v>500</v>
      </c>
      <c r="D152" s="128">
        <f t="shared" si="55"/>
        <v>250</v>
      </c>
      <c r="E152" s="130">
        <f t="shared" si="55"/>
        <v>320</v>
      </c>
      <c r="F152" s="130">
        <f t="shared" si="55"/>
        <v>370</v>
      </c>
      <c r="G152" s="130">
        <f t="shared" si="55"/>
        <v>370</v>
      </c>
      <c r="H152" s="130">
        <f t="shared" si="55"/>
        <v>370</v>
      </c>
      <c r="I152" s="129">
        <f t="shared" si="41"/>
        <v>0.0005440437211178951</v>
      </c>
      <c r="J152" s="129">
        <f t="shared" si="45"/>
        <v>1.15625</v>
      </c>
      <c r="K152" s="130">
        <f t="shared" si="46"/>
        <v>50</v>
      </c>
      <c r="L152" s="129">
        <f t="shared" si="42"/>
        <v>0.0005916145512875452</v>
      </c>
      <c r="M152" s="129">
        <f t="shared" si="47"/>
        <v>1</v>
      </c>
      <c r="N152" s="130">
        <f t="shared" si="48"/>
        <v>0</v>
      </c>
      <c r="O152" s="129">
        <f t="shared" si="43"/>
        <v>0.0005758390987277691</v>
      </c>
      <c r="P152" s="129">
        <f t="shared" si="49"/>
        <v>1</v>
      </c>
      <c r="Q152" s="130">
        <f t="shared" si="50"/>
        <v>0</v>
      </c>
      <c r="R152" s="131">
        <f t="shared" si="52"/>
        <v>0.06014939809960415</v>
      </c>
      <c r="S152" s="131">
        <f>F152/E152*100</f>
        <v>115.625</v>
      </c>
      <c r="T152" s="132">
        <v>680092.4</v>
      </c>
      <c r="U152" s="133">
        <v>625407.2</v>
      </c>
      <c r="V152" s="133">
        <v>642540.6</v>
      </c>
    </row>
    <row r="153" spans="1:22" s="204" customFormat="1" ht="21">
      <c r="A153" s="207" t="s">
        <v>187</v>
      </c>
      <c r="B153" s="19" t="s">
        <v>9</v>
      </c>
      <c r="C153" s="14">
        <v>500</v>
      </c>
      <c r="D153" s="45">
        <v>250</v>
      </c>
      <c r="E153" s="123">
        <f>320</f>
        <v>320</v>
      </c>
      <c r="F153" s="123">
        <v>370</v>
      </c>
      <c r="G153" s="123">
        <v>370</v>
      </c>
      <c r="H153" s="123">
        <v>370</v>
      </c>
      <c r="I153" s="218">
        <f t="shared" si="41"/>
        <v>0.0005440437211178951</v>
      </c>
      <c r="J153" s="218">
        <f t="shared" si="45"/>
        <v>1.15625</v>
      </c>
      <c r="K153" s="219">
        <f t="shared" si="46"/>
        <v>50</v>
      </c>
      <c r="L153" s="218">
        <f t="shared" si="42"/>
        <v>0.0005916145512875452</v>
      </c>
      <c r="M153" s="218">
        <f t="shared" si="47"/>
        <v>1</v>
      </c>
      <c r="N153" s="219">
        <f t="shared" si="48"/>
        <v>0</v>
      </c>
      <c r="O153" s="218">
        <f t="shared" si="43"/>
        <v>0.0005758390987277691</v>
      </c>
      <c r="P153" s="218">
        <f t="shared" si="49"/>
        <v>1</v>
      </c>
      <c r="Q153" s="219">
        <f t="shared" si="50"/>
        <v>0</v>
      </c>
      <c r="R153" s="220">
        <f t="shared" si="52"/>
        <v>0.06014939809960415</v>
      </c>
      <c r="T153" s="205">
        <v>680092.4</v>
      </c>
      <c r="U153" s="206">
        <v>625407.2</v>
      </c>
      <c r="V153" s="206">
        <v>642540.6</v>
      </c>
    </row>
    <row r="154" spans="1:22" s="134" customFormat="1" ht="20.25">
      <c r="A154" s="126" t="s">
        <v>188</v>
      </c>
      <c r="B154" s="138" t="s">
        <v>189</v>
      </c>
      <c r="C154" s="127">
        <f aca="true" t="shared" si="56" ref="C154:H154">C155</f>
        <v>500</v>
      </c>
      <c r="D154" s="128">
        <f t="shared" si="56"/>
        <v>800</v>
      </c>
      <c r="E154" s="130">
        <f t="shared" si="56"/>
        <v>2200</v>
      </c>
      <c r="F154" s="130">
        <f t="shared" si="56"/>
        <v>600</v>
      </c>
      <c r="G154" s="130">
        <f t="shared" si="56"/>
        <v>550</v>
      </c>
      <c r="H154" s="130">
        <f t="shared" si="56"/>
        <v>520</v>
      </c>
      <c r="I154" s="129">
        <f t="shared" si="41"/>
        <v>0.0008822330612722624</v>
      </c>
      <c r="J154" s="129">
        <f t="shared" si="45"/>
        <v>0.2727272727272727</v>
      </c>
      <c r="K154" s="130">
        <f t="shared" si="46"/>
        <v>-1600</v>
      </c>
      <c r="L154" s="129">
        <f t="shared" si="42"/>
        <v>0.0008794270356977023</v>
      </c>
      <c r="M154" s="129">
        <f t="shared" si="47"/>
        <v>0.9166666666666666</v>
      </c>
      <c r="N154" s="130">
        <f t="shared" si="48"/>
        <v>-50</v>
      </c>
      <c r="O154" s="129">
        <f t="shared" si="43"/>
        <v>0.0008092873819957836</v>
      </c>
      <c r="P154" s="129">
        <f t="shared" si="49"/>
        <v>0.9454545454545454</v>
      </c>
      <c r="Q154" s="130">
        <f t="shared" si="50"/>
        <v>-30</v>
      </c>
      <c r="R154" s="131">
        <f t="shared" si="52"/>
        <v>0.09753956448584457</v>
      </c>
      <c r="S154" s="131">
        <f>F154/E154*100</f>
        <v>27.27272727272727</v>
      </c>
      <c r="T154" s="132">
        <v>680092.4</v>
      </c>
      <c r="U154" s="133">
        <v>625407.2</v>
      </c>
      <c r="V154" s="133">
        <v>642540.6</v>
      </c>
    </row>
    <row r="155" spans="1:22" s="204" customFormat="1" ht="29.25" customHeight="1">
      <c r="A155" s="207" t="s">
        <v>190</v>
      </c>
      <c r="B155" s="19" t="s">
        <v>8</v>
      </c>
      <c r="C155" s="14">
        <f>500</f>
        <v>500</v>
      </c>
      <c r="D155" s="45">
        <v>800</v>
      </c>
      <c r="E155" s="123">
        <f>2200</f>
        <v>2200</v>
      </c>
      <c r="F155" s="123">
        <v>600</v>
      </c>
      <c r="G155" s="123">
        <v>550</v>
      </c>
      <c r="H155" s="123">
        <v>520</v>
      </c>
      <c r="I155" s="218">
        <f t="shared" si="41"/>
        <v>0.0008822330612722624</v>
      </c>
      <c r="J155" s="218">
        <f t="shared" si="45"/>
        <v>0.2727272727272727</v>
      </c>
      <c r="K155" s="219">
        <f t="shared" si="46"/>
        <v>-1600</v>
      </c>
      <c r="L155" s="218">
        <f t="shared" si="42"/>
        <v>0.0008794270356977023</v>
      </c>
      <c r="M155" s="218">
        <f t="shared" si="47"/>
        <v>0.9166666666666666</v>
      </c>
      <c r="N155" s="219">
        <f t="shared" si="48"/>
        <v>-50</v>
      </c>
      <c r="O155" s="218">
        <f t="shared" si="43"/>
        <v>0.0008092873819957836</v>
      </c>
      <c r="P155" s="218">
        <f t="shared" si="49"/>
        <v>0.9454545454545454</v>
      </c>
      <c r="Q155" s="219">
        <f t="shared" si="50"/>
        <v>-30</v>
      </c>
      <c r="R155" s="220">
        <f t="shared" si="52"/>
        <v>0.09753956448584457</v>
      </c>
      <c r="T155" s="205">
        <v>680092.4</v>
      </c>
      <c r="U155" s="206">
        <v>625407.2</v>
      </c>
      <c r="V155" s="206">
        <v>642540.6</v>
      </c>
    </row>
    <row r="156" spans="1:22" s="134" customFormat="1" ht="79.5" customHeight="1">
      <c r="A156" s="126" t="s">
        <v>191</v>
      </c>
      <c r="B156" s="138" t="s">
        <v>369</v>
      </c>
      <c r="C156" s="127">
        <f aca="true" t="shared" si="57" ref="C156:H156">C158+C159+C160</f>
        <v>6663.2</v>
      </c>
      <c r="D156" s="128">
        <f t="shared" si="57"/>
        <v>7956.700000000001</v>
      </c>
      <c r="E156" s="130">
        <f t="shared" si="57"/>
        <v>2365.1</v>
      </c>
      <c r="F156" s="130">
        <f t="shared" si="57"/>
        <v>2475.8</v>
      </c>
      <c r="G156" s="130">
        <f t="shared" si="57"/>
        <v>2575.5</v>
      </c>
      <c r="H156" s="130">
        <f t="shared" si="57"/>
        <v>2669.9</v>
      </c>
      <c r="I156" s="129">
        <f t="shared" si="41"/>
        <v>0.0036403876884964458</v>
      </c>
      <c r="J156" s="129">
        <f t="shared" si="45"/>
        <v>1.0468056318971715</v>
      </c>
      <c r="K156" s="130">
        <f t="shared" si="46"/>
        <v>110.70000000000027</v>
      </c>
      <c r="L156" s="129">
        <f t="shared" si="42"/>
        <v>0.004118116964435332</v>
      </c>
      <c r="M156" s="129">
        <f t="shared" si="47"/>
        <v>1.0402698117780111</v>
      </c>
      <c r="N156" s="130">
        <f t="shared" si="48"/>
        <v>99.69999999999982</v>
      </c>
      <c r="O156" s="129">
        <f t="shared" si="43"/>
        <v>0.004155223809981813</v>
      </c>
      <c r="P156" s="129">
        <f t="shared" si="49"/>
        <v>1.0366530770724132</v>
      </c>
      <c r="Q156" s="130">
        <f t="shared" si="50"/>
        <v>94.40000000000009</v>
      </c>
      <c r="R156" s="131">
        <f t="shared" si="52"/>
        <v>0.4024807562567566</v>
      </c>
      <c r="S156" s="131">
        <f>F156/E156*100</f>
        <v>104.68056318971715</v>
      </c>
      <c r="T156" s="132">
        <v>680092.4</v>
      </c>
      <c r="U156" s="133">
        <v>625407.2</v>
      </c>
      <c r="V156" s="133">
        <v>642540.6</v>
      </c>
    </row>
    <row r="157" spans="1:22" s="221" customFormat="1" ht="39">
      <c r="A157" s="210" t="s">
        <v>193</v>
      </c>
      <c r="B157" s="19" t="s">
        <v>194</v>
      </c>
      <c r="C157" s="12">
        <f aca="true" t="shared" si="58" ref="C157:H157">C158+C159</f>
        <v>6214.5</v>
      </c>
      <c r="D157" s="46">
        <f t="shared" si="58"/>
        <v>4849.700000000001</v>
      </c>
      <c r="E157" s="123">
        <f t="shared" si="58"/>
        <v>2365.1</v>
      </c>
      <c r="F157" s="123">
        <f t="shared" si="58"/>
        <v>2475.8</v>
      </c>
      <c r="G157" s="123">
        <f t="shared" si="58"/>
        <v>2575.5</v>
      </c>
      <c r="H157" s="123">
        <f t="shared" si="58"/>
        <v>2669.9</v>
      </c>
      <c r="I157" s="227">
        <f t="shared" si="41"/>
        <v>0.0036403876884964458</v>
      </c>
      <c r="J157" s="227">
        <f t="shared" si="45"/>
        <v>1.0468056318971715</v>
      </c>
      <c r="K157" s="123">
        <f t="shared" si="46"/>
        <v>110.70000000000027</v>
      </c>
      <c r="L157" s="227">
        <f t="shared" si="42"/>
        <v>0.004118116964435332</v>
      </c>
      <c r="M157" s="227">
        <f t="shared" si="47"/>
        <v>1.0402698117780111</v>
      </c>
      <c r="N157" s="123">
        <f t="shared" si="48"/>
        <v>99.69999999999982</v>
      </c>
      <c r="O157" s="227">
        <f t="shared" si="43"/>
        <v>0.004155223809981813</v>
      </c>
      <c r="P157" s="227">
        <f t="shared" si="49"/>
        <v>1.0366530770724132</v>
      </c>
      <c r="Q157" s="123">
        <f t="shared" si="50"/>
        <v>94.40000000000009</v>
      </c>
      <c r="R157" s="220">
        <f t="shared" si="52"/>
        <v>0.4024807562567566</v>
      </c>
      <c r="T157" s="205">
        <v>680092.4</v>
      </c>
      <c r="U157" s="206">
        <v>625407.2</v>
      </c>
      <c r="V157" s="206">
        <v>642540.6</v>
      </c>
    </row>
    <row r="158" spans="1:22" ht="58.5" hidden="1">
      <c r="A158" s="207"/>
      <c r="B158" s="19" t="s">
        <v>195</v>
      </c>
      <c r="C158" s="18">
        <v>6214.5</v>
      </c>
      <c r="D158" s="45">
        <v>2693.9</v>
      </c>
      <c r="E158" s="28">
        <f>0</f>
        <v>0</v>
      </c>
      <c r="F158" s="28">
        <f>0</f>
        <v>0</v>
      </c>
      <c r="G158" s="28">
        <f>0</f>
        <v>0</v>
      </c>
      <c r="H158" s="28">
        <f>0</f>
        <v>0</v>
      </c>
      <c r="I158" s="116">
        <f t="shared" si="41"/>
        <v>0</v>
      </c>
      <c r="J158" s="116" t="e">
        <f t="shared" si="45"/>
        <v>#DIV/0!</v>
      </c>
      <c r="K158" s="47">
        <f t="shared" si="46"/>
        <v>0</v>
      </c>
      <c r="L158" s="116">
        <f t="shared" si="42"/>
        <v>0</v>
      </c>
      <c r="M158" s="116" t="e">
        <f t="shared" si="47"/>
        <v>#DIV/0!</v>
      </c>
      <c r="N158" s="47">
        <f t="shared" si="48"/>
        <v>0</v>
      </c>
      <c r="O158" s="116">
        <f t="shared" si="43"/>
        <v>0</v>
      </c>
      <c r="P158" s="116" t="e">
        <f t="shared" si="49"/>
        <v>#DIV/0!</v>
      </c>
      <c r="Q158" s="47">
        <f t="shared" si="50"/>
        <v>0</v>
      </c>
      <c r="R158" s="30">
        <f t="shared" si="52"/>
        <v>0</v>
      </c>
      <c r="T158" s="114">
        <v>680092.4</v>
      </c>
      <c r="U158" s="115">
        <v>625407.2</v>
      </c>
      <c r="V158" s="115">
        <v>642540.6</v>
      </c>
    </row>
    <row r="159" spans="1:22" ht="56.25">
      <c r="A159" s="200"/>
      <c r="B159" s="121" t="s">
        <v>196</v>
      </c>
      <c r="C159" s="198">
        <v>0</v>
      </c>
      <c r="D159" s="45">
        <v>2155.8</v>
      </c>
      <c r="E159" s="119">
        <f>2365.1</f>
        <v>2365.1</v>
      </c>
      <c r="F159" s="119">
        <v>2475.8</v>
      </c>
      <c r="G159" s="119">
        <v>2575.5</v>
      </c>
      <c r="H159" s="119">
        <v>2669.9</v>
      </c>
      <c r="I159" s="124">
        <f t="shared" si="41"/>
        <v>0.0036403876884964458</v>
      </c>
      <c r="J159" s="124">
        <f t="shared" si="45"/>
        <v>1.0468056318971715</v>
      </c>
      <c r="K159" s="125">
        <f t="shared" si="46"/>
        <v>110.70000000000027</v>
      </c>
      <c r="L159" s="124">
        <f t="shared" si="42"/>
        <v>0.004118116964435332</v>
      </c>
      <c r="M159" s="124">
        <f t="shared" si="47"/>
        <v>1.0402698117780111</v>
      </c>
      <c r="N159" s="125">
        <f t="shared" si="48"/>
        <v>99.69999999999982</v>
      </c>
      <c r="O159" s="124">
        <f t="shared" si="43"/>
        <v>0.004155223809981813</v>
      </c>
      <c r="P159" s="124">
        <f t="shared" si="49"/>
        <v>1.0366530770724132</v>
      </c>
      <c r="Q159" s="125">
        <f t="shared" si="50"/>
        <v>94.40000000000009</v>
      </c>
      <c r="R159" s="120">
        <f t="shared" si="52"/>
        <v>0.4024807562567566</v>
      </c>
      <c r="T159" s="114">
        <v>680092.4</v>
      </c>
      <c r="U159" s="115">
        <v>625407.2</v>
      </c>
      <c r="V159" s="115">
        <v>642540.6</v>
      </c>
    </row>
    <row r="160" spans="1:22" s="204" customFormat="1" ht="21">
      <c r="A160" s="207" t="s">
        <v>197</v>
      </c>
      <c r="B160" s="19" t="s">
        <v>7</v>
      </c>
      <c r="C160" s="14">
        <v>448.7</v>
      </c>
      <c r="D160" s="45">
        <v>3107</v>
      </c>
      <c r="E160" s="123">
        <f>0</f>
        <v>0</v>
      </c>
      <c r="F160" s="123">
        <f>0</f>
        <v>0</v>
      </c>
      <c r="G160" s="123">
        <f>0</f>
        <v>0</v>
      </c>
      <c r="H160" s="123">
        <f>0</f>
        <v>0</v>
      </c>
      <c r="I160" s="218">
        <f t="shared" si="41"/>
        <v>0</v>
      </c>
      <c r="J160" s="218" t="e">
        <f t="shared" si="45"/>
        <v>#DIV/0!</v>
      </c>
      <c r="K160" s="219">
        <f t="shared" si="46"/>
        <v>0</v>
      </c>
      <c r="L160" s="218">
        <f t="shared" si="42"/>
        <v>0</v>
      </c>
      <c r="M160" s="218" t="e">
        <f t="shared" si="47"/>
        <v>#DIV/0!</v>
      </c>
      <c r="N160" s="219">
        <f t="shared" si="48"/>
        <v>0</v>
      </c>
      <c r="O160" s="218">
        <f t="shared" si="43"/>
        <v>0</v>
      </c>
      <c r="P160" s="218" t="e">
        <f t="shared" si="49"/>
        <v>#DIV/0!</v>
      </c>
      <c r="Q160" s="219">
        <f t="shared" si="50"/>
        <v>0</v>
      </c>
      <c r="R160" s="220">
        <f t="shared" si="52"/>
        <v>0</v>
      </c>
      <c r="T160" s="205">
        <v>680092.4</v>
      </c>
      <c r="U160" s="206">
        <v>625407.2</v>
      </c>
      <c r="V160" s="206">
        <v>642540.6</v>
      </c>
    </row>
    <row r="161" spans="1:22" s="134" customFormat="1" ht="30.75" customHeight="1">
      <c r="A161" s="209"/>
      <c r="B161" s="138" t="s">
        <v>370</v>
      </c>
      <c r="C161" s="136">
        <f aca="true" t="shared" si="59" ref="C161:H161">C8+C36+C38+C48+C62+C78+C80+C116+C128+C136+C144+C152+C154+C156</f>
        <v>636912.5</v>
      </c>
      <c r="D161" s="122">
        <f t="shared" si="59"/>
        <v>610709.7999999999</v>
      </c>
      <c r="E161" s="130">
        <f t="shared" si="59"/>
        <v>634417.1</v>
      </c>
      <c r="F161" s="130">
        <f t="shared" si="59"/>
        <v>680092.4000000001</v>
      </c>
      <c r="G161" s="130">
        <f t="shared" si="59"/>
        <v>625407.2</v>
      </c>
      <c r="H161" s="130">
        <f t="shared" si="59"/>
        <v>642540.6</v>
      </c>
      <c r="I161" s="129">
        <f t="shared" si="41"/>
        <v>1.0000000000000002</v>
      </c>
      <c r="J161" s="129">
        <f t="shared" si="45"/>
        <v>1.0719956949458016</v>
      </c>
      <c r="K161" s="130">
        <f t="shared" si="46"/>
        <v>45675.30000000016</v>
      </c>
      <c r="L161" s="129">
        <f t="shared" si="42"/>
        <v>1</v>
      </c>
      <c r="M161" s="129">
        <f t="shared" si="47"/>
        <v>0.9195915143295232</v>
      </c>
      <c r="N161" s="130">
        <f t="shared" si="48"/>
        <v>-54685.200000000186</v>
      </c>
      <c r="O161" s="129">
        <f t="shared" si="43"/>
        <v>1</v>
      </c>
      <c r="P161" s="129">
        <f t="shared" si="49"/>
        <v>1.0273955912244055</v>
      </c>
      <c r="Q161" s="130">
        <f t="shared" si="50"/>
        <v>17133.400000000023</v>
      </c>
      <c r="R161" s="131">
        <f t="shared" si="52"/>
        <v>110.55986084355469</v>
      </c>
      <c r="S161" s="131">
        <f>F161/E161*100</f>
        <v>107.19956949458016</v>
      </c>
      <c r="T161" s="132">
        <v>680092.4</v>
      </c>
      <c r="U161" s="133">
        <v>625407.2</v>
      </c>
      <c r="V161" s="133">
        <v>642540.6</v>
      </c>
    </row>
    <row r="162" spans="1:22" ht="21">
      <c r="A162" s="207"/>
      <c r="B162" s="13" t="s">
        <v>199</v>
      </c>
      <c r="C162" s="14">
        <f aca="true" t="shared" si="60" ref="C162:H162">C36+C156</f>
        <v>7475</v>
      </c>
      <c r="D162" s="45">
        <f t="shared" si="60"/>
        <v>8922.7</v>
      </c>
      <c r="E162" s="28">
        <f t="shared" si="60"/>
        <v>2365.1</v>
      </c>
      <c r="F162" s="28">
        <f t="shared" si="60"/>
        <v>2475.8</v>
      </c>
      <c r="G162" s="28">
        <f t="shared" si="60"/>
        <v>2575.5</v>
      </c>
      <c r="H162" s="28">
        <f t="shared" si="60"/>
        <v>2669.9</v>
      </c>
      <c r="I162" s="116">
        <f t="shared" si="41"/>
        <v>0.0036403876884964458</v>
      </c>
      <c r="J162" s="116">
        <f t="shared" si="45"/>
        <v>1.0468056318971715</v>
      </c>
      <c r="K162" s="47">
        <f t="shared" si="46"/>
        <v>110.70000000000027</v>
      </c>
      <c r="L162" s="116">
        <f t="shared" si="42"/>
        <v>0.004118116964435332</v>
      </c>
      <c r="M162" s="116">
        <f t="shared" si="47"/>
        <v>1.0402698117780111</v>
      </c>
      <c r="N162" s="47">
        <f t="shared" si="48"/>
        <v>99.69999999999982</v>
      </c>
      <c r="O162" s="116">
        <f t="shared" si="43"/>
        <v>0.004155223809981813</v>
      </c>
      <c r="P162" s="116">
        <f t="shared" si="49"/>
        <v>1.0366530770724132</v>
      </c>
      <c r="Q162" s="47">
        <f t="shared" si="50"/>
        <v>94.40000000000009</v>
      </c>
      <c r="R162" s="30">
        <f t="shared" si="52"/>
        <v>0.4024807562567566</v>
      </c>
      <c r="T162" s="114">
        <v>680092.4</v>
      </c>
      <c r="U162" s="115">
        <v>625407.2</v>
      </c>
      <c r="V162" s="115">
        <v>642540.6</v>
      </c>
    </row>
    <row r="163" spans="1:22" s="1" customFormat="1" ht="31.5" customHeight="1">
      <c r="A163" s="207"/>
      <c r="B163" s="13" t="s">
        <v>200</v>
      </c>
      <c r="C163" s="12">
        <f aca="true" t="shared" si="61" ref="C163:H163">C161-C162</f>
        <v>629437.5</v>
      </c>
      <c r="D163" s="45">
        <f t="shared" si="61"/>
        <v>601787.1</v>
      </c>
      <c r="E163" s="47">
        <f t="shared" si="61"/>
        <v>632052</v>
      </c>
      <c r="F163" s="47">
        <f t="shared" si="61"/>
        <v>677616.6000000001</v>
      </c>
      <c r="G163" s="47">
        <f t="shared" si="61"/>
        <v>622831.7</v>
      </c>
      <c r="H163" s="47">
        <f t="shared" si="61"/>
        <v>639870.7</v>
      </c>
      <c r="I163" s="116">
        <f t="shared" si="41"/>
        <v>0.9963596123115036</v>
      </c>
      <c r="J163" s="116">
        <f t="shared" si="45"/>
        <v>1.0720899546239868</v>
      </c>
      <c r="K163" s="47">
        <f t="shared" si="46"/>
        <v>45564.60000000009</v>
      </c>
      <c r="L163" s="116">
        <f t="shared" si="42"/>
        <v>0.9958818830355647</v>
      </c>
      <c r="M163" s="116">
        <f t="shared" si="47"/>
        <v>0.9191505934181657</v>
      </c>
      <c r="N163" s="47">
        <f t="shared" si="48"/>
        <v>-54784.90000000014</v>
      </c>
      <c r="O163" s="116">
        <f t="shared" si="43"/>
        <v>0.9958447761900181</v>
      </c>
      <c r="P163" s="116">
        <f t="shared" si="49"/>
        <v>1.0273573101690232</v>
      </c>
      <c r="Q163" s="47">
        <f t="shared" si="50"/>
        <v>17039</v>
      </c>
      <c r="R163" s="30">
        <f t="shared" si="52"/>
        <v>110.15738008729792</v>
      </c>
      <c r="T163" s="114">
        <v>680092.4</v>
      </c>
      <c r="U163" s="115">
        <v>625407.2</v>
      </c>
      <c r="V163" s="115">
        <v>642540.6</v>
      </c>
    </row>
    <row r="164" spans="1:22" s="134" customFormat="1" ht="39">
      <c r="A164" s="212"/>
      <c r="B164" s="189" t="s">
        <v>201</v>
      </c>
      <c r="C164" s="127">
        <f>'[1]дох. МР'!C31-C161</f>
        <v>-1800.0999999999767</v>
      </c>
      <c r="D164" s="139">
        <v>0</v>
      </c>
      <c r="E164" s="130">
        <v>8000</v>
      </c>
      <c r="F164" s="130">
        <v>4500</v>
      </c>
      <c r="G164" s="130">
        <v>0</v>
      </c>
      <c r="H164" s="130">
        <v>9600</v>
      </c>
      <c r="I164" s="130" t="s">
        <v>52</v>
      </c>
      <c r="J164" s="130" t="s">
        <v>52</v>
      </c>
      <c r="K164" s="130" t="s">
        <v>52</v>
      </c>
      <c r="L164" s="130" t="s">
        <v>52</v>
      </c>
      <c r="M164" s="130" t="s">
        <v>52</v>
      </c>
      <c r="N164" s="130" t="s">
        <v>52</v>
      </c>
      <c r="O164" s="130" t="s">
        <v>52</v>
      </c>
      <c r="P164" s="130" t="s">
        <v>52</v>
      </c>
      <c r="Q164" s="130" t="s">
        <v>52</v>
      </c>
      <c r="R164" s="131">
        <f t="shared" si="52"/>
        <v>0.7315467336438343</v>
      </c>
      <c r="T164" s="132">
        <v>680092.4</v>
      </c>
      <c r="U164" s="133">
        <v>625407.2</v>
      </c>
      <c r="V164" s="133">
        <v>642540.6</v>
      </c>
    </row>
    <row r="165" spans="1:22" s="134" customFormat="1" ht="39">
      <c r="A165" s="212"/>
      <c r="B165" s="189" t="s">
        <v>202</v>
      </c>
      <c r="C165" s="140">
        <f>C166+C167+C170</f>
        <v>3200</v>
      </c>
      <c r="D165" s="141">
        <f>D166+D167+D168+D169+D170</f>
        <v>0</v>
      </c>
      <c r="E165" s="117">
        <f>E166+E167+E168+E169+E170</f>
        <v>-8000</v>
      </c>
      <c r="F165" s="117">
        <f>F166+F167+F168+F169+F170</f>
        <v>-4500</v>
      </c>
      <c r="G165" s="117">
        <f>G166+G167+G168+G169+G170</f>
        <v>0</v>
      </c>
      <c r="H165" s="117">
        <f>H166+H167+H168+H169+H170</f>
        <v>-9600</v>
      </c>
      <c r="I165" s="130" t="s">
        <v>52</v>
      </c>
      <c r="J165" s="130" t="s">
        <v>52</v>
      </c>
      <c r="K165" s="130" t="s">
        <v>52</v>
      </c>
      <c r="L165" s="130" t="s">
        <v>52</v>
      </c>
      <c r="M165" s="130" t="s">
        <v>52</v>
      </c>
      <c r="N165" s="130" t="s">
        <v>52</v>
      </c>
      <c r="O165" s="130" t="s">
        <v>52</v>
      </c>
      <c r="P165" s="130" t="s">
        <v>52</v>
      </c>
      <c r="Q165" s="130" t="s">
        <v>52</v>
      </c>
      <c r="R165" s="131">
        <f t="shared" si="52"/>
        <v>-0.7315467336438343</v>
      </c>
      <c r="T165" s="132">
        <v>680092.4</v>
      </c>
      <c r="U165" s="133">
        <v>625407.2</v>
      </c>
      <c r="V165" s="133">
        <v>642540.6</v>
      </c>
    </row>
    <row r="166" spans="1:22" ht="37.5">
      <c r="A166" s="224" t="s">
        <v>4</v>
      </c>
      <c r="B166" s="121" t="s">
        <v>203</v>
      </c>
      <c r="C166" s="118">
        <v>5200</v>
      </c>
      <c r="D166" s="40">
        <v>10700</v>
      </c>
      <c r="E166" s="119">
        <f>0</f>
        <v>0</v>
      </c>
      <c r="F166" s="119">
        <f>0</f>
        <v>0</v>
      </c>
      <c r="G166" s="119">
        <v>9600</v>
      </c>
      <c r="H166" s="119">
        <f>0</f>
        <v>0</v>
      </c>
      <c r="I166" s="119" t="s">
        <v>52</v>
      </c>
      <c r="J166" s="119" t="s">
        <v>52</v>
      </c>
      <c r="K166" s="119" t="s">
        <v>52</v>
      </c>
      <c r="L166" s="119" t="s">
        <v>52</v>
      </c>
      <c r="M166" s="119" t="s">
        <v>52</v>
      </c>
      <c r="N166" s="119" t="s">
        <v>52</v>
      </c>
      <c r="O166" s="119" t="s">
        <v>52</v>
      </c>
      <c r="P166" s="119" t="s">
        <v>52</v>
      </c>
      <c r="Q166" s="119" t="s">
        <v>52</v>
      </c>
      <c r="R166" s="120">
        <f t="shared" si="52"/>
        <v>0</v>
      </c>
      <c r="T166" s="114">
        <v>680092.4</v>
      </c>
      <c r="U166" s="115">
        <v>625407.2</v>
      </c>
      <c r="V166" s="115">
        <v>642540.6</v>
      </c>
    </row>
    <row r="167" spans="1:22" ht="37.5">
      <c r="A167" s="225" t="s">
        <v>1</v>
      </c>
      <c r="B167" s="195" t="s">
        <v>204</v>
      </c>
      <c r="C167" s="118">
        <v>-2000</v>
      </c>
      <c r="D167" s="40">
        <v>-10000</v>
      </c>
      <c r="E167" s="119">
        <f>-8000</f>
        <v>-8000</v>
      </c>
      <c r="F167" s="119">
        <v>-4500</v>
      </c>
      <c r="G167" s="119">
        <v>0</v>
      </c>
      <c r="H167" s="119">
        <v>-9600</v>
      </c>
      <c r="I167" s="119" t="s">
        <v>52</v>
      </c>
      <c r="J167" s="119" t="s">
        <v>52</v>
      </c>
      <c r="K167" s="119" t="s">
        <v>52</v>
      </c>
      <c r="L167" s="119" t="s">
        <v>52</v>
      </c>
      <c r="M167" s="119" t="s">
        <v>52</v>
      </c>
      <c r="N167" s="119" t="s">
        <v>52</v>
      </c>
      <c r="O167" s="119" t="s">
        <v>52</v>
      </c>
      <c r="P167" s="119" t="s">
        <v>52</v>
      </c>
      <c r="Q167" s="119" t="s">
        <v>52</v>
      </c>
      <c r="R167" s="120">
        <f t="shared" si="52"/>
        <v>-0.7315467336438343</v>
      </c>
      <c r="T167" s="114">
        <v>680092.4</v>
      </c>
      <c r="U167" s="115">
        <v>625407.2</v>
      </c>
      <c r="V167" s="115">
        <v>642540.6</v>
      </c>
    </row>
    <row r="168" spans="1:18" ht="56.25">
      <c r="A168" s="226" t="s">
        <v>6</v>
      </c>
      <c r="B168" s="195" t="s">
        <v>12</v>
      </c>
      <c r="C168" s="118"/>
      <c r="D168" s="40">
        <v>0</v>
      </c>
      <c r="E168" s="119">
        <v>0</v>
      </c>
      <c r="F168" s="119">
        <v>0</v>
      </c>
      <c r="G168" s="119">
        <v>0</v>
      </c>
      <c r="H168" s="119">
        <v>0</v>
      </c>
      <c r="I168" s="119" t="s">
        <v>52</v>
      </c>
      <c r="J168" s="119" t="s">
        <v>52</v>
      </c>
      <c r="K168" s="119" t="s">
        <v>52</v>
      </c>
      <c r="L168" s="119" t="s">
        <v>52</v>
      </c>
      <c r="M168" s="119" t="s">
        <v>52</v>
      </c>
      <c r="N168" s="119" t="s">
        <v>52</v>
      </c>
      <c r="O168" s="119" t="s">
        <v>52</v>
      </c>
      <c r="P168" s="119" t="s">
        <v>52</v>
      </c>
      <c r="Q168" s="119" t="s">
        <v>52</v>
      </c>
      <c r="R168" s="120">
        <f t="shared" si="52"/>
        <v>0</v>
      </c>
    </row>
    <row r="169" spans="1:18" ht="56.25">
      <c r="A169" s="226" t="s">
        <v>205</v>
      </c>
      <c r="B169" s="195" t="s">
        <v>5</v>
      </c>
      <c r="C169" s="118"/>
      <c r="D169" s="40">
        <v>-700</v>
      </c>
      <c r="E169" s="119">
        <v>0</v>
      </c>
      <c r="F169" s="119">
        <f>0</f>
        <v>0</v>
      </c>
      <c r="G169" s="119">
        <v>-9600</v>
      </c>
      <c r="H169" s="119">
        <v>0</v>
      </c>
      <c r="I169" s="119" t="s">
        <v>52</v>
      </c>
      <c r="J169" s="119" t="s">
        <v>52</v>
      </c>
      <c r="K169" s="119" t="s">
        <v>52</v>
      </c>
      <c r="L169" s="119" t="s">
        <v>52</v>
      </c>
      <c r="M169" s="119" t="s">
        <v>52</v>
      </c>
      <c r="N169" s="119" t="s">
        <v>52</v>
      </c>
      <c r="O169" s="119" t="s">
        <v>52</v>
      </c>
      <c r="P169" s="119" t="s">
        <v>52</v>
      </c>
      <c r="Q169" s="119" t="s">
        <v>52</v>
      </c>
      <c r="R169" s="120">
        <f t="shared" si="52"/>
        <v>0</v>
      </c>
    </row>
    <row r="170" spans="1:18" ht="18.75">
      <c r="A170" s="200"/>
      <c r="B170" s="216" t="s">
        <v>206</v>
      </c>
      <c r="C170" s="118">
        <v>0</v>
      </c>
      <c r="D170" s="45">
        <v>0</v>
      </c>
      <c r="E170" s="40">
        <v>0</v>
      </c>
      <c r="F170" s="40">
        <v>0</v>
      </c>
      <c r="G170" s="40"/>
      <c r="H170" s="40"/>
      <c r="I170" s="119" t="s">
        <v>52</v>
      </c>
      <c r="J170" s="119" t="s">
        <v>52</v>
      </c>
      <c r="K170" s="119" t="s">
        <v>52</v>
      </c>
      <c r="L170" s="119" t="s">
        <v>52</v>
      </c>
      <c r="M170" s="119" t="s">
        <v>52</v>
      </c>
      <c r="N170" s="119" t="s">
        <v>52</v>
      </c>
      <c r="O170" s="119" t="s">
        <v>52</v>
      </c>
      <c r="P170" s="119" t="s">
        <v>52</v>
      </c>
      <c r="Q170" s="119" t="s">
        <v>52</v>
      </c>
      <c r="R170" s="120">
        <f t="shared" si="52"/>
        <v>0</v>
      </c>
    </row>
    <row r="171" spans="1:18" s="23" customFormat="1" ht="19.5">
      <c r="A171" s="213"/>
      <c r="B171" s="190"/>
      <c r="C171" s="21"/>
      <c r="D171" s="49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22"/>
    </row>
    <row r="172" spans="1:18" s="23" customFormat="1" ht="19.5">
      <c r="A172" s="213"/>
      <c r="B172" s="190"/>
      <c r="C172" s="21"/>
      <c r="D172" s="49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22"/>
    </row>
    <row r="173" spans="1:18" s="23" customFormat="1" ht="19.5">
      <c r="A173" s="213"/>
      <c r="B173" s="190"/>
      <c r="C173" s="21"/>
      <c r="D173" s="49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22"/>
    </row>
    <row r="174" spans="1:18" ht="19.5">
      <c r="A174" s="214"/>
      <c r="B174" s="191"/>
      <c r="C174" s="24"/>
      <c r="D174" s="51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1"/>
    </row>
    <row r="175" spans="1:18" ht="19.5">
      <c r="A175" s="214"/>
      <c r="B175" s="191"/>
      <c r="C175" s="24"/>
      <c r="D175" s="51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1"/>
    </row>
    <row r="176" spans="1:18" ht="19.5">
      <c r="A176" s="214"/>
      <c r="B176" s="191"/>
      <c r="C176" s="24"/>
      <c r="D176" s="51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1"/>
    </row>
    <row r="177" spans="1:18" ht="19.5">
      <c r="A177" s="215"/>
      <c r="B177" s="191"/>
      <c r="C177" s="26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1"/>
    </row>
  </sheetData>
  <sheetProtection/>
  <mergeCells count="14">
    <mergeCell ref="O5:O6"/>
    <mergeCell ref="P5:P6"/>
    <mergeCell ref="Q5:Q6"/>
    <mergeCell ref="A33:A34"/>
    <mergeCell ref="A2:Q2"/>
    <mergeCell ref="A5:A6"/>
    <mergeCell ref="B5:B6"/>
    <mergeCell ref="C5:H5"/>
    <mergeCell ref="I5:I6"/>
    <mergeCell ref="J5:J6"/>
    <mergeCell ref="K5:K6"/>
    <mergeCell ref="L5:L6"/>
    <mergeCell ref="M5:M6"/>
    <mergeCell ref="N5:N6"/>
  </mergeCells>
  <printOptions/>
  <pageMargins left="0" right="0" top="0" bottom="0" header="0.31496062992125984" footer="0.31496062992125984"/>
  <pageSetup fitToHeight="9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1191"/>
  <sheetViews>
    <sheetView view="pageBreakPreview" zoomScaleSheetLayoutView="100" zoomScalePageLayoutView="0" workbookViewId="0" topLeftCell="A4">
      <pane xSplit="8" ySplit="3" topLeftCell="I7" activePane="bottomRight" state="frozen"/>
      <selection pane="topLeft" activeCell="A4" sqref="A4"/>
      <selection pane="topRight" activeCell="I4" sqref="I4"/>
      <selection pane="bottomLeft" activeCell="A7" sqref="A7"/>
      <selection pane="bottomRight" activeCell="B14" sqref="B14"/>
    </sheetView>
  </sheetViews>
  <sheetFormatPr defaultColWidth="9.140625" defaultRowHeight="12.75"/>
  <cols>
    <col min="1" max="1" width="24.7109375" style="2" customWidth="1"/>
    <col min="2" max="2" width="37.00390625" style="3" customWidth="1"/>
    <col min="3" max="3" width="14.140625" style="3" hidden="1" customWidth="1"/>
    <col min="4" max="4" width="14.00390625" style="3" hidden="1" customWidth="1"/>
    <col min="5" max="5" width="13.28125" style="3" hidden="1" customWidth="1"/>
    <col min="6" max="6" width="11.8515625" style="3" hidden="1" customWidth="1"/>
    <col min="7" max="7" width="13.28125" style="3" hidden="1" customWidth="1"/>
    <col min="8" max="8" width="12.421875" style="3" hidden="1" customWidth="1"/>
    <col min="9" max="9" width="11.8515625" style="3" customWidth="1"/>
    <col min="10" max="10" width="13.28125" style="3" customWidth="1"/>
    <col min="11" max="11" width="12.421875" style="3" customWidth="1"/>
    <col min="12" max="12" width="11.8515625" style="3" customWidth="1"/>
    <col min="13" max="13" width="13.28125" style="3" customWidth="1"/>
    <col min="14" max="14" width="12.421875" style="3" customWidth="1"/>
    <col min="15" max="15" width="11.8515625" style="3" customWidth="1"/>
    <col min="16" max="16" width="13.28125" style="3" customWidth="1"/>
    <col min="17" max="17" width="12.421875" style="3" customWidth="1"/>
    <col min="18" max="18" width="11.8515625" style="3" customWidth="1"/>
    <col min="19" max="19" width="13.28125" style="3" customWidth="1"/>
    <col min="20" max="20" width="12.421875" style="3" customWidth="1"/>
    <col min="21" max="16384" width="9.140625" style="3" customWidth="1"/>
  </cols>
  <sheetData>
    <row r="1" spans="1:10" s="1" customFormat="1" ht="45.75" customHeight="1">
      <c r="A1" s="285" t="s">
        <v>394</v>
      </c>
      <c r="B1" s="285"/>
      <c r="C1" s="285"/>
      <c r="D1" s="285"/>
      <c r="E1" s="285"/>
      <c r="F1" s="285"/>
      <c r="G1" s="285"/>
      <c r="H1" s="285"/>
      <c r="I1" s="285"/>
      <c r="J1" s="285"/>
    </row>
    <row r="2" ht="2.25" customHeight="1"/>
    <row r="3" spans="4:20" ht="16.5">
      <c r="D3" s="286"/>
      <c r="E3" s="286"/>
      <c r="G3" s="281"/>
      <c r="H3" s="281"/>
      <c r="J3" s="281"/>
      <c r="K3" s="281"/>
      <c r="M3" s="281" t="s">
        <v>3</v>
      </c>
      <c r="N3" s="281"/>
      <c r="P3" s="281" t="s">
        <v>3</v>
      </c>
      <c r="Q3" s="281"/>
      <c r="S3" s="281" t="s">
        <v>3</v>
      </c>
      <c r="T3" s="281"/>
    </row>
    <row r="4" spans="1:20" s="5" customFormat="1" ht="25.5" customHeight="1">
      <c r="A4" s="287" t="s">
        <v>224</v>
      </c>
      <c r="B4" s="267" t="s">
        <v>16</v>
      </c>
      <c r="C4" s="280" t="s">
        <v>18</v>
      </c>
      <c r="D4" s="280"/>
      <c r="E4" s="280"/>
      <c r="F4" s="280" t="s">
        <v>207</v>
      </c>
      <c r="G4" s="280"/>
      <c r="H4" s="280"/>
      <c r="I4" s="280" t="s">
        <v>215</v>
      </c>
      <c r="J4" s="280"/>
      <c r="K4" s="280"/>
      <c r="L4" s="284" t="s">
        <v>299</v>
      </c>
      <c r="M4" s="284"/>
      <c r="N4" s="284"/>
      <c r="O4" s="282" t="s">
        <v>300</v>
      </c>
      <c r="P4" s="282"/>
      <c r="Q4" s="282"/>
      <c r="R4" s="283" t="s">
        <v>301</v>
      </c>
      <c r="S4" s="283"/>
      <c r="T4" s="283"/>
    </row>
    <row r="5" spans="1:20" s="5" customFormat="1" ht="68.25" customHeight="1">
      <c r="A5" s="287"/>
      <c r="B5" s="268"/>
      <c r="C5" s="55" t="s">
        <v>225</v>
      </c>
      <c r="D5" s="55" t="s">
        <v>226</v>
      </c>
      <c r="E5" s="55" t="s">
        <v>227</v>
      </c>
      <c r="F5" s="55" t="s">
        <v>225</v>
      </c>
      <c r="G5" s="55" t="s">
        <v>226</v>
      </c>
      <c r="H5" s="55" t="s">
        <v>227</v>
      </c>
      <c r="I5" s="55" t="s">
        <v>225</v>
      </c>
      <c r="J5" s="55" t="s">
        <v>226</v>
      </c>
      <c r="K5" s="55" t="s">
        <v>227</v>
      </c>
      <c r="L5" s="55" t="s">
        <v>225</v>
      </c>
      <c r="M5" s="55" t="s">
        <v>226</v>
      </c>
      <c r="N5" s="55" t="s">
        <v>227</v>
      </c>
      <c r="O5" s="55" t="s">
        <v>225</v>
      </c>
      <c r="P5" s="55" t="s">
        <v>226</v>
      </c>
      <c r="Q5" s="55" t="s">
        <v>227</v>
      </c>
      <c r="R5" s="55" t="s">
        <v>225</v>
      </c>
      <c r="S5" s="55" t="s">
        <v>226</v>
      </c>
      <c r="T5" s="55" t="s">
        <v>227</v>
      </c>
    </row>
    <row r="6" spans="1:20" ht="39" customHeight="1">
      <c r="A6" s="56" t="s">
        <v>19</v>
      </c>
      <c r="B6" s="57" t="s">
        <v>228</v>
      </c>
      <c r="C6" s="58">
        <f>SUM(C7:C20)</f>
        <v>140527.3</v>
      </c>
      <c r="D6" s="58">
        <f>SUM(D7:D20)</f>
        <v>78498.5</v>
      </c>
      <c r="E6" s="58">
        <f>C6+D6</f>
        <v>219025.8</v>
      </c>
      <c r="F6" s="58">
        <f>SUM(F7:F20)</f>
        <v>156832.49999999997</v>
      </c>
      <c r="G6" s="58">
        <f>SUM(G7:G20)</f>
        <v>79501.5</v>
      </c>
      <c r="H6" s="58">
        <f>F6+G6</f>
        <v>236333.99999999997</v>
      </c>
      <c r="I6" s="58">
        <f>SUM(I7:I20)</f>
        <v>168170.5</v>
      </c>
      <c r="J6" s="58">
        <f>SUM(J7:J20)</f>
        <v>90709.1</v>
      </c>
      <c r="K6" s="58">
        <f>I6+J6</f>
        <v>258879.6</v>
      </c>
      <c r="L6" s="253">
        <f>SUM(L7:L20)</f>
        <v>170110.4</v>
      </c>
      <c r="M6" s="253">
        <f>SUM(M7:M20)</f>
        <v>98087.4</v>
      </c>
      <c r="N6" s="253">
        <f>L6+M6</f>
        <v>268197.8</v>
      </c>
      <c r="O6" s="253">
        <f>SUM(O7:O20)</f>
        <v>176575</v>
      </c>
      <c r="P6" s="253">
        <f>SUM(P7:P20)</f>
        <v>102099.4</v>
      </c>
      <c r="Q6" s="253">
        <f>O6+P6</f>
        <v>278674.4</v>
      </c>
      <c r="R6" s="253">
        <f>SUM(R7:R20)</f>
        <v>183285</v>
      </c>
      <c r="S6" s="253">
        <f>SUM(S7:S20)</f>
        <v>106278.80000000002</v>
      </c>
      <c r="T6" s="253">
        <f>R6+S6</f>
        <v>289563.80000000005</v>
      </c>
    </row>
    <row r="7" spans="1:20" ht="18.75" customHeight="1">
      <c r="A7" s="59" t="s">
        <v>21</v>
      </c>
      <c r="B7" s="60" t="s">
        <v>22</v>
      </c>
      <c r="C7" s="61">
        <v>104870</v>
      </c>
      <c r="D7" s="61">
        <v>39230</v>
      </c>
      <c r="E7" s="61">
        <f>C7+D7</f>
        <v>144100</v>
      </c>
      <c r="F7" s="61">
        <v>107860</v>
      </c>
      <c r="G7" s="61">
        <v>39940</v>
      </c>
      <c r="H7" s="58">
        <f>F7+G7</f>
        <v>147800</v>
      </c>
      <c r="I7" s="61">
        <f>108614.8</f>
        <v>108614.8</v>
      </c>
      <c r="J7" s="61">
        <f>40415</f>
        <v>40415</v>
      </c>
      <c r="K7" s="58">
        <f>I7+J7</f>
        <v>149029.8</v>
      </c>
      <c r="L7" s="61">
        <v>113067</v>
      </c>
      <c r="M7" s="61">
        <v>42933</v>
      </c>
      <c r="N7" s="58">
        <f>L7+M7</f>
        <v>156000</v>
      </c>
      <c r="O7" s="61">
        <v>117364</v>
      </c>
      <c r="P7" s="61">
        <v>44579.3</v>
      </c>
      <c r="Q7" s="58">
        <f>O7+P7</f>
        <v>161943.3</v>
      </c>
      <c r="R7" s="61">
        <v>121824</v>
      </c>
      <c r="S7" s="61">
        <v>46292.6</v>
      </c>
      <c r="T7" s="58">
        <f>R7+S7</f>
        <v>168116.6</v>
      </c>
    </row>
    <row r="8" spans="1:20" ht="19.5" customHeight="1">
      <c r="A8" s="59" t="s">
        <v>23</v>
      </c>
      <c r="B8" s="60" t="s">
        <v>24</v>
      </c>
      <c r="C8" s="61">
        <v>3607.4</v>
      </c>
      <c r="D8" s="61">
        <v>7808.5</v>
      </c>
      <c r="E8" s="61">
        <f>C8+D8</f>
        <v>11415.9</v>
      </c>
      <c r="F8" s="62">
        <f>5703.4+7427.9</f>
        <v>13131.3</v>
      </c>
      <c r="G8" s="62">
        <f>(12350-8036.2)</f>
        <v>4313.8</v>
      </c>
      <c r="H8" s="62">
        <f>F8+G8</f>
        <v>17445.1</v>
      </c>
      <c r="I8" s="62">
        <f>23137.5</f>
        <v>23137.5</v>
      </c>
      <c r="J8" s="62">
        <f>5681.1</f>
        <v>5681.1</v>
      </c>
      <c r="K8" s="62">
        <f>I8+J8</f>
        <v>28818.6</v>
      </c>
      <c r="L8" s="254">
        <v>18984.4</v>
      </c>
      <c r="M8" s="254">
        <v>4662.4</v>
      </c>
      <c r="N8" s="62">
        <f>L8+M8</f>
        <v>23646.800000000003</v>
      </c>
      <c r="O8" s="254">
        <v>19706</v>
      </c>
      <c r="P8" s="254">
        <v>4839.6</v>
      </c>
      <c r="Q8" s="62">
        <f>O8+P8</f>
        <v>24545.6</v>
      </c>
      <c r="R8" s="254">
        <v>20455</v>
      </c>
      <c r="S8" s="254">
        <v>5023.5</v>
      </c>
      <c r="T8" s="62">
        <f>R8+S8</f>
        <v>25478.5</v>
      </c>
    </row>
    <row r="9" spans="1:20" ht="25.5" customHeight="1">
      <c r="A9" s="59" t="s">
        <v>25</v>
      </c>
      <c r="B9" s="60" t="s">
        <v>26</v>
      </c>
      <c r="C9" s="61">
        <v>19000</v>
      </c>
      <c r="D9" s="61">
        <v>0</v>
      </c>
      <c r="E9" s="61">
        <f aca="true" t="shared" si="0" ref="E9:E21">C9+D9</f>
        <v>19000</v>
      </c>
      <c r="F9" s="61">
        <v>21000</v>
      </c>
      <c r="G9" s="61">
        <v>0</v>
      </c>
      <c r="H9" s="58">
        <f aca="true" t="shared" si="1" ref="H9:H21">F9+G9</f>
        <v>21000</v>
      </c>
      <c r="I9" s="61">
        <f>19000</f>
        <v>19000</v>
      </c>
      <c r="J9" s="61">
        <v>0</v>
      </c>
      <c r="K9" s="58">
        <f aca="true" t="shared" si="2" ref="K9:K21">I9+J9</f>
        <v>19000</v>
      </c>
      <c r="L9" s="61">
        <v>17200</v>
      </c>
      <c r="M9" s="61">
        <v>0</v>
      </c>
      <c r="N9" s="58">
        <f aca="true" t="shared" si="3" ref="N9:N21">L9+M9</f>
        <v>17200</v>
      </c>
      <c r="O9" s="61">
        <v>17854</v>
      </c>
      <c r="P9" s="61">
        <v>0</v>
      </c>
      <c r="Q9" s="58">
        <f aca="true" t="shared" si="4" ref="Q9:Q21">O9+P9</f>
        <v>17854</v>
      </c>
      <c r="R9" s="61">
        <v>18532</v>
      </c>
      <c r="S9" s="61">
        <v>0</v>
      </c>
      <c r="T9" s="58">
        <f aca="true" t="shared" si="5" ref="T9:T21">R9+S9</f>
        <v>18532</v>
      </c>
    </row>
    <row r="10" spans="1:20" ht="16.5">
      <c r="A10" s="59" t="s">
        <v>27</v>
      </c>
      <c r="B10" s="60" t="s">
        <v>28</v>
      </c>
      <c r="C10" s="61">
        <v>3500</v>
      </c>
      <c r="D10" s="61">
        <v>1500</v>
      </c>
      <c r="E10" s="61">
        <f t="shared" si="0"/>
        <v>5000</v>
      </c>
      <c r="F10" s="61">
        <v>4100</v>
      </c>
      <c r="G10" s="61">
        <v>1900</v>
      </c>
      <c r="H10" s="58">
        <f t="shared" si="1"/>
        <v>6000</v>
      </c>
      <c r="I10" s="61">
        <f>6481</f>
        <v>6481</v>
      </c>
      <c r="J10" s="61">
        <f>4487</f>
        <v>4487</v>
      </c>
      <c r="K10" s="58">
        <f t="shared" si="2"/>
        <v>10968</v>
      </c>
      <c r="L10" s="61">
        <v>8865</v>
      </c>
      <c r="M10" s="61">
        <v>6135</v>
      </c>
      <c r="N10" s="58">
        <f t="shared" si="3"/>
        <v>15000</v>
      </c>
      <c r="O10" s="61">
        <v>9201</v>
      </c>
      <c r="P10" s="61">
        <v>6432.7</v>
      </c>
      <c r="Q10" s="58">
        <f t="shared" si="4"/>
        <v>15633.7</v>
      </c>
      <c r="R10" s="61">
        <v>9551</v>
      </c>
      <c r="S10" s="61">
        <v>6745.4</v>
      </c>
      <c r="T10" s="58">
        <f t="shared" si="5"/>
        <v>16296.4</v>
      </c>
    </row>
    <row r="11" spans="1:20" ht="18.75" customHeight="1">
      <c r="A11" s="59" t="s">
        <v>29</v>
      </c>
      <c r="B11" s="60" t="s">
        <v>30</v>
      </c>
      <c r="C11" s="61">
        <v>0</v>
      </c>
      <c r="D11" s="61">
        <v>6000</v>
      </c>
      <c r="E11" s="61">
        <f t="shared" si="0"/>
        <v>6000</v>
      </c>
      <c r="F11" s="61">
        <v>0</v>
      </c>
      <c r="G11" s="61">
        <v>7000</v>
      </c>
      <c r="H11" s="58">
        <f t="shared" si="1"/>
        <v>7000</v>
      </c>
      <c r="I11" s="61">
        <v>0</v>
      </c>
      <c r="J11" s="61">
        <f>9184</f>
        <v>9184</v>
      </c>
      <c r="K11" s="58">
        <f t="shared" si="2"/>
        <v>9184</v>
      </c>
      <c r="L11" s="61">
        <v>0</v>
      </c>
      <c r="M11" s="61">
        <v>12985</v>
      </c>
      <c r="N11" s="58">
        <f t="shared" si="3"/>
        <v>12985</v>
      </c>
      <c r="O11" s="61">
        <v>0</v>
      </c>
      <c r="P11" s="61">
        <v>13497.9</v>
      </c>
      <c r="Q11" s="58">
        <f t="shared" si="4"/>
        <v>13497.9</v>
      </c>
      <c r="R11" s="61">
        <v>0</v>
      </c>
      <c r="S11" s="61">
        <v>14032.3</v>
      </c>
      <c r="T11" s="58">
        <f t="shared" si="5"/>
        <v>14032.3</v>
      </c>
    </row>
    <row r="12" spans="1:20" ht="20.25" customHeight="1" hidden="1">
      <c r="A12" s="59" t="s">
        <v>31</v>
      </c>
      <c r="B12" s="60" t="s">
        <v>32</v>
      </c>
      <c r="C12" s="61">
        <f>0</f>
        <v>0</v>
      </c>
      <c r="D12" s="61">
        <v>0</v>
      </c>
      <c r="E12" s="61">
        <f t="shared" si="0"/>
        <v>0</v>
      </c>
      <c r="F12" s="61">
        <v>0</v>
      </c>
      <c r="G12" s="61">
        <v>0</v>
      </c>
      <c r="H12" s="58">
        <f t="shared" si="1"/>
        <v>0</v>
      </c>
      <c r="I12" s="61">
        <v>0</v>
      </c>
      <c r="J12" s="61">
        <v>0</v>
      </c>
      <c r="K12" s="58">
        <f t="shared" si="2"/>
        <v>0</v>
      </c>
      <c r="L12" s="61">
        <v>0</v>
      </c>
      <c r="M12" s="61">
        <v>0</v>
      </c>
      <c r="N12" s="58">
        <f t="shared" si="3"/>
        <v>0</v>
      </c>
      <c r="O12" s="61">
        <v>0</v>
      </c>
      <c r="P12" s="61">
        <v>0</v>
      </c>
      <c r="Q12" s="58">
        <f t="shared" si="4"/>
        <v>0</v>
      </c>
      <c r="R12" s="61">
        <v>0</v>
      </c>
      <c r="S12" s="61">
        <v>0</v>
      </c>
      <c r="T12" s="58">
        <f t="shared" si="5"/>
        <v>0</v>
      </c>
    </row>
    <row r="13" spans="1:20" ht="20.25" customHeight="1">
      <c r="A13" s="59" t="s">
        <v>33</v>
      </c>
      <c r="B13" s="60" t="s">
        <v>34</v>
      </c>
      <c r="C13" s="61">
        <v>0</v>
      </c>
      <c r="D13" s="61">
        <v>21000</v>
      </c>
      <c r="E13" s="61">
        <f t="shared" si="0"/>
        <v>21000</v>
      </c>
      <c r="F13" s="61">
        <v>0</v>
      </c>
      <c r="G13" s="61">
        <v>23000</v>
      </c>
      <c r="H13" s="58">
        <f t="shared" si="1"/>
        <v>23000</v>
      </c>
      <c r="I13" s="61">
        <v>0</v>
      </c>
      <c r="J13" s="61">
        <f>27000</f>
        <v>27000</v>
      </c>
      <c r="K13" s="58">
        <f t="shared" si="2"/>
        <v>27000</v>
      </c>
      <c r="L13" s="61">
        <v>0</v>
      </c>
      <c r="M13" s="61">
        <v>27100</v>
      </c>
      <c r="N13" s="58">
        <f t="shared" si="3"/>
        <v>27100</v>
      </c>
      <c r="O13" s="61">
        <v>0</v>
      </c>
      <c r="P13" s="61">
        <v>28312.3</v>
      </c>
      <c r="Q13" s="58">
        <f t="shared" si="4"/>
        <v>28312.3</v>
      </c>
      <c r="R13" s="61">
        <v>0</v>
      </c>
      <c r="S13" s="61">
        <v>29581.7</v>
      </c>
      <c r="T13" s="58">
        <f t="shared" si="5"/>
        <v>29581.7</v>
      </c>
    </row>
    <row r="14" spans="1:20" ht="19.5" customHeight="1">
      <c r="A14" s="59" t="s">
        <v>35</v>
      </c>
      <c r="B14" s="60" t="s">
        <v>36</v>
      </c>
      <c r="C14" s="61">
        <v>3125</v>
      </c>
      <c r="D14" s="61">
        <f>60</f>
        <v>60</v>
      </c>
      <c r="E14" s="61">
        <f t="shared" si="0"/>
        <v>3185</v>
      </c>
      <c r="F14" s="61">
        <v>3420</v>
      </c>
      <c r="G14" s="61">
        <v>73</v>
      </c>
      <c r="H14" s="58">
        <f t="shared" si="1"/>
        <v>3493</v>
      </c>
      <c r="I14" s="61">
        <f>4000</f>
        <v>4000</v>
      </c>
      <c r="J14" s="61">
        <f>72</f>
        <v>72</v>
      </c>
      <c r="K14" s="58">
        <f t="shared" si="2"/>
        <v>4072</v>
      </c>
      <c r="L14" s="61">
        <v>3500</v>
      </c>
      <c r="M14" s="61">
        <f>72</f>
        <v>72</v>
      </c>
      <c r="N14" s="58">
        <f t="shared" si="3"/>
        <v>3572</v>
      </c>
      <c r="O14" s="61">
        <v>3633</v>
      </c>
      <c r="P14" s="61">
        <v>78</v>
      </c>
      <c r="Q14" s="58">
        <f t="shared" si="4"/>
        <v>3711</v>
      </c>
      <c r="R14" s="61">
        <v>3771</v>
      </c>
      <c r="S14" s="61">
        <v>78</v>
      </c>
      <c r="T14" s="58">
        <f t="shared" si="5"/>
        <v>3849</v>
      </c>
    </row>
    <row r="15" spans="1:20" ht="21.75" customHeight="1">
      <c r="A15" s="59" t="s">
        <v>37</v>
      </c>
      <c r="B15" s="60" t="s">
        <v>38</v>
      </c>
      <c r="C15" s="61">
        <v>3100</v>
      </c>
      <c r="D15" s="61">
        <v>1900</v>
      </c>
      <c r="E15" s="61">
        <f t="shared" si="0"/>
        <v>5000</v>
      </c>
      <c r="F15" s="61">
        <v>4000</v>
      </c>
      <c r="G15" s="61">
        <v>1900</v>
      </c>
      <c r="H15" s="58">
        <f t="shared" si="1"/>
        <v>5900</v>
      </c>
      <c r="I15" s="61">
        <f>4100</f>
        <v>4100</v>
      </c>
      <c r="J15" s="61">
        <f>1900</f>
        <v>1900</v>
      </c>
      <c r="K15" s="58">
        <f t="shared" si="2"/>
        <v>6000</v>
      </c>
      <c r="L15" s="61">
        <f>4100</f>
        <v>4100</v>
      </c>
      <c r="M15" s="61">
        <f>1900</f>
        <v>1900</v>
      </c>
      <c r="N15" s="58">
        <f t="shared" si="3"/>
        <v>6000</v>
      </c>
      <c r="O15" s="61">
        <v>4255.8</v>
      </c>
      <c r="P15" s="61">
        <v>1972.2</v>
      </c>
      <c r="Q15" s="58">
        <f t="shared" si="4"/>
        <v>6228</v>
      </c>
      <c r="R15" s="61">
        <v>4417</v>
      </c>
      <c r="S15" s="61">
        <v>2047.1</v>
      </c>
      <c r="T15" s="58">
        <f t="shared" si="5"/>
        <v>6464.1</v>
      </c>
    </row>
    <row r="16" spans="1:20" ht="21.75" customHeight="1">
      <c r="A16" s="59" t="s">
        <v>39</v>
      </c>
      <c r="B16" s="60" t="s">
        <v>40</v>
      </c>
      <c r="C16" s="61">
        <f>200</f>
        <v>200</v>
      </c>
      <c r="D16" s="61">
        <f>500+400</f>
        <v>900</v>
      </c>
      <c r="E16" s="61">
        <f t="shared" si="0"/>
        <v>1100</v>
      </c>
      <c r="F16" s="61">
        <v>500</v>
      </c>
      <c r="G16" s="61">
        <v>1000</v>
      </c>
      <c r="H16" s="58">
        <f t="shared" si="1"/>
        <v>1500</v>
      </c>
      <c r="I16" s="61">
        <v>500</v>
      </c>
      <c r="J16" s="61">
        <f>1500+320</f>
        <v>1820</v>
      </c>
      <c r="K16" s="58">
        <f t="shared" si="2"/>
        <v>2320</v>
      </c>
      <c r="L16" s="61">
        <v>400</v>
      </c>
      <c r="M16" s="61">
        <f>1600+300</f>
        <v>1900</v>
      </c>
      <c r="N16" s="58">
        <f t="shared" si="3"/>
        <v>2300</v>
      </c>
      <c r="O16" s="61">
        <v>415.2</v>
      </c>
      <c r="P16" s="61">
        <f>1660.8+311.4</f>
        <v>1972.1999999999998</v>
      </c>
      <c r="Q16" s="58">
        <f t="shared" si="4"/>
        <v>2387.3999999999996</v>
      </c>
      <c r="R16" s="61">
        <f>431</f>
        <v>431</v>
      </c>
      <c r="S16" s="61">
        <f>1723.9+323.2</f>
        <v>2047.1000000000001</v>
      </c>
      <c r="T16" s="58">
        <f t="shared" si="5"/>
        <v>2478.1000000000004</v>
      </c>
    </row>
    <row r="17" spans="1:20" ht="34.5" customHeight="1">
      <c r="A17" s="59" t="s">
        <v>41</v>
      </c>
      <c r="B17" s="60" t="s">
        <v>42</v>
      </c>
      <c r="C17" s="61">
        <v>1139.9</v>
      </c>
      <c r="D17" s="61">
        <v>0</v>
      </c>
      <c r="E17" s="61">
        <f t="shared" si="0"/>
        <v>1139.9</v>
      </c>
      <c r="F17" s="61">
        <v>436.6</v>
      </c>
      <c r="G17" s="61">
        <v>0</v>
      </c>
      <c r="H17" s="58">
        <f t="shared" si="1"/>
        <v>436.6</v>
      </c>
      <c r="I17" s="61">
        <f>716.7</f>
        <v>716.7</v>
      </c>
      <c r="J17" s="61">
        <v>0</v>
      </c>
      <c r="K17" s="58">
        <f t="shared" si="2"/>
        <v>716.7</v>
      </c>
      <c r="L17" s="61">
        <v>872</v>
      </c>
      <c r="M17" s="61">
        <v>0</v>
      </c>
      <c r="N17" s="58">
        <f t="shared" si="3"/>
        <v>872</v>
      </c>
      <c r="O17" s="61">
        <v>905</v>
      </c>
      <c r="P17" s="61">
        <v>0</v>
      </c>
      <c r="Q17" s="58">
        <f t="shared" si="4"/>
        <v>905</v>
      </c>
      <c r="R17" s="61">
        <v>940</v>
      </c>
      <c r="S17" s="61">
        <v>0</v>
      </c>
      <c r="T17" s="58">
        <f t="shared" si="5"/>
        <v>940</v>
      </c>
    </row>
    <row r="18" spans="1:20" ht="33" hidden="1">
      <c r="A18" s="59" t="s">
        <v>43</v>
      </c>
      <c r="B18" s="60" t="s">
        <v>44</v>
      </c>
      <c r="C18" s="61">
        <v>0</v>
      </c>
      <c r="D18" s="61">
        <v>0</v>
      </c>
      <c r="E18" s="61">
        <f t="shared" si="0"/>
        <v>0</v>
      </c>
      <c r="F18" s="61">
        <v>0</v>
      </c>
      <c r="G18" s="61">
        <v>0</v>
      </c>
      <c r="H18" s="58">
        <f t="shared" si="1"/>
        <v>0</v>
      </c>
      <c r="I18" s="61">
        <v>0</v>
      </c>
      <c r="J18" s="61">
        <v>0</v>
      </c>
      <c r="K18" s="58">
        <f t="shared" si="2"/>
        <v>0</v>
      </c>
      <c r="L18" s="61">
        <v>0</v>
      </c>
      <c r="M18" s="61">
        <v>0</v>
      </c>
      <c r="N18" s="58">
        <f t="shared" si="3"/>
        <v>0</v>
      </c>
      <c r="O18" s="61">
        <v>0</v>
      </c>
      <c r="P18" s="61">
        <v>0</v>
      </c>
      <c r="Q18" s="58">
        <f t="shared" si="4"/>
        <v>0</v>
      </c>
      <c r="R18" s="61">
        <v>0</v>
      </c>
      <c r="S18" s="61">
        <v>0</v>
      </c>
      <c r="T18" s="58">
        <f t="shared" si="5"/>
        <v>0</v>
      </c>
    </row>
    <row r="19" spans="1:20" ht="22.5" customHeight="1">
      <c r="A19" s="59" t="s">
        <v>45</v>
      </c>
      <c r="B19" s="60" t="s">
        <v>46</v>
      </c>
      <c r="C19" s="61">
        <v>100</v>
      </c>
      <c r="D19" s="61">
        <v>100</v>
      </c>
      <c r="E19" s="61">
        <f t="shared" si="0"/>
        <v>200</v>
      </c>
      <c r="F19" s="61">
        <v>481.3</v>
      </c>
      <c r="G19" s="61">
        <v>374.7</v>
      </c>
      <c r="H19" s="58">
        <f t="shared" si="1"/>
        <v>856</v>
      </c>
      <c r="I19" s="61">
        <f>200</f>
        <v>200</v>
      </c>
      <c r="J19" s="61">
        <f>100</f>
        <v>100</v>
      </c>
      <c r="K19" s="58">
        <f t="shared" si="2"/>
        <v>300</v>
      </c>
      <c r="L19" s="61">
        <f>700</f>
        <v>700</v>
      </c>
      <c r="M19" s="61">
        <v>400</v>
      </c>
      <c r="N19" s="58">
        <f t="shared" si="3"/>
        <v>1100</v>
      </c>
      <c r="O19" s="61">
        <v>727</v>
      </c>
      <c r="P19" s="61">
        <v>415.2</v>
      </c>
      <c r="Q19" s="58">
        <f t="shared" si="4"/>
        <v>1142.2</v>
      </c>
      <c r="R19" s="61">
        <v>755</v>
      </c>
      <c r="S19" s="61">
        <v>431.1</v>
      </c>
      <c r="T19" s="58">
        <f t="shared" si="5"/>
        <v>1186.1</v>
      </c>
    </row>
    <row r="20" spans="1:20" ht="31.5" customHeight="1">
      <c r="A20" s="59" t="s">
        <v>47</v>
      </c>
      <c r="B20" s="63" t="s">
        <v>229</v>
      </c>
      <c r="C20" s="61">
        <v>1885</v>
      </c>
      <c r="D20" s="61">
        <v>0</v>
      </c>
      <c r="E20" s="61">
        <f t="shared" si="0"/>
        <v>1885</v>
      </c>
      <c r="F20" s="61">
        <v>1903.3</v>
      </c>
      <c r="G20" s="61">
        <v>0</v>
      </c>
      <c r="H20" s="58">
        <f t="shared" si="1"/>
        <v>1903.3</v>
      </c>
      <c r="I20" s="61">
        <f>677.5+743</f>
        <v>1420.5</v>
      </c>
      <c r="J20" s="61">
        <f>50</f>
        <v>50</v>
      </c>
      <c r="K20" s="58">
        <f t="shared" si="2"/>
        <v>1470.5</v>
      </c>
      <c r="L20" s="61">
        <f>1107+1315</f>
        <v>2422</v>
      </c>
      <c r="M20" s="61">
        <v>0</v>
      </c>
      <c r="N20" s="58">
        <f t="shared" si="3"/>
        <v>2422</v>
      </c>
      <c r="O20" s="61">
        <f>1149+1365</f>
        <v>2514</v>
      </c>
      <c r="P20" s="61">
        <v>0</v>
      </c>
      <c r="Q20" s="58">
        <f t="shared" si="4"/>
        <v>2514</v>
      </c>
      <c r="R20" s="61">
        <f>1192+1417</f>
        <v>2609</v>
      </c>
      <c r="S20" s="61">
        <v>0</v>
      </c>
      <c r="T20" s="58">
        <f t="shared" si="5"/>
        <v>2609</v>
      </c>
    </row>
    <row r="21" spans="1:20" ht="20.25" customHeight="1">
      <c r="A21" s="59" t="s">
        <v>48</v>
      </c>
      <c r="B21" s="60" t="s">
        <v>49</v>
      </c>
      <c r="C21" s="61">
        <v>710</v>
      </c>
      <c r="D21" s="61">
        <v>0</v>
      </c>
      <c r="E21" s="61">
        <f t="shared" si="0"/>
        <v>710</v>
      </c>
      <c r="F21" s="61">
        <v>866.5</v>
      </c>
      <c r="G21" s="61">
        <v>0</v>
      </c>
      <c r="H21" s="58">
        <f t="shared" si="1"/>
        <v>866.5</v>
      </c>
      <c r="I21" s="61">
        <f>743</f>
        <v>743</v>
      </c>
      <c r="J21" s="61">
        <v>0</v>
      </c>
      <c r="K21" s="58">
        <f t="shared" si="2"/>
        <v>743</v>
      </c>
      <c r="L21" s="61">
        <v>1315</v>
      </c>
      <c r="M21" s="61">
        <v>0</v>
      </c>
      <c r="N21" s="58">
        <f t="shared" si="3"/>
        <v>1315</v>
      </c>
      <c r="O21" s="61">
        <v>1365</v>
      </c>
      <c r="P21" s="61">
        <v>0</v>
      </c>
      <c r="Q21" s="58">
        <f t="shared" si="4"/>
        <v>1365</v>
      </c>
      <c r="R21" s="61">
        <v>1417</v>
      </c>
      <c r="S21" s="61">
        <v>0</v>
      </c>
      <c r="T21" s="58">
        <f t="shared" si="5"/>
        <v>1417</v>
      </c>
    </row>
    <row r="22" spans="1:20" s="1" customFormat="1" ht="40.5" customHeight="1">
      <c r="A22" s="56" t="s">
        <v>50</v>
      </c>
      <c r="B22" s="64" t="s">
        <v>51</v>
      </c>
      <c r="C22" s="58">
        <f>C23+C25+C24+C26</f>
        <v>470182.5</v>
      </c>
      <c r="D22" s="58">
        <f>D23+D25+D24+D26</f>
        <v>8922.7</v>
      </c>
      <c r="E22" s="58">
        <f>E23+E24+E25+E26</f>
        <v>461924.2</v>
      </c>
      <c r="F22" s="58">
        <f>F23+F25+F24+F26</f>
        <v>457846.6</v>
      </c>
      <c r="G22" s="58">
        <f>G23+G25+G24+G26</f>
        <v>6090.9</v>
      </c>
      <c r="H22" s="58">
        <f>H23+H24+H25+H26</f>
        <v>456022.3</v>
      </c>
      <c r="I22" s="58">
        <f>I23+I25+I24+I26</f>
        <v>474246.6</v>
      </c>
      <c r="J22" s="58">
        <f>J23+J25+J24+J26</f>
        <v>3288.5</v>
      </c>
      <c r="K22" s="58">
        <f>K23+K24+K25+K26</f>
        <v>468801.2</v>
      </c>
      <c r="L22" s="58">
        <f>L23+L25+L24+L26</f>
        <v>507591</v>
      </c>
      <c r="M22" s="58">
        <f>M23+M25+M24+M26</f>
        <v>3381.9</v>
      </c>
      <c r="N22" s="58">
        <f>N23+N24+N25+N26</f>
        <v>508497.1</v>
      </c>
      <c r="O22" s="58">
        <f>O23+O25+O24+O26</f>
        <v>441941.19999999995</v>
      </c>
      <c r="P22" s="58">
        <f>P23+P25+P24+P26</f>
        <v>3491.3</v>
      </c>
      <c r="Q22" s="58">
        <f>Q23+Q24+Q25+Q26</f>
        <v>442857</v>
      </c>
      <c r="R22" s="58">
        <f>R23+R25+R24+R26</f>
        <v>461964.6</v>
      </c>
      <c r="S22" s="58">
        <f>S23+S25+S24+S26</f>
        <v>3618.7</v>
      </c>
      <c r="T22" s="58">
        <f>T23+T24+T25+T26</f>
        <v>462913.39999999997</v>
      </c>
    </row>
    <row r="23" spans="1:20" ht="21.75" customHeight="1">
      <c r="A23" s="59" t="s">
        <v>230</v>
      </c>
      <c r="B23" s="60" t="s">
        <v>15</v>
      </c>
      <c r="C23" s="61">
        <v>82161.1</v>
      </c>
      <c r="D23" s="61">
        <f>2693.9+2155.8</f>
        <v>4849.700000000001</v>
      </c>
      <c r="E23" s="61">
        <f>C23</f>
        <v>82161.1</v>
      </c>
      <c r="F23" s="61">
        <f>72050.2</f>
        <v>72050.2</v>
      </c>
      <c r="G23" s="62">
        <f>((1702.8-8.2-0-3.5+145.6-8.5-5.1)+2278.6)</f>
        <v>4101.7</v>
      </c>
      <c r="H23" s="61">
        <f>F23</f>
        <v>72050.2</v>
      </c>
      <c r="I23" s="61">
        <f>116001.5</f>
        <v>116001.5</v>
      </c>
      <c r="J23" s="61">
        <f>2365.1</f>
        <v>2365.1</v>
      </c>
      <c r="K23" s="61">
        <f>I23</f>
        <v>116001.5</v>
      </c>
      <c r="L23" s="61">
        <v>138965</v>
      </c>
      <c r="M23" s="61">
        <v>2475.8</v>
      </c>
      <c r="N23" s="61">
        <f>L23</f>
        <v>138965</v>
      </c>
      <c r="O23" s="61">
        <f>103941.9</f>
        <v>103941.9</v>
      </c>
      <c r="P23" s="61">
        <f>2575.5</f>
        <v>2575.5</v>
      </c>
      <c r="Q23" s="61">
        <f>O23</f>
        <v>103941.9</v>
      </c>
      <c r="R23" s="61">
        <f>111425.8</f>
        <v>111425.8</v>
      </c>
      <c r="S23" s="61">
        <f>2669.9</f>
        <v>2669.9</v>
      </c>
      <c r="T23" s="61">
        <f>R23</f>
        <v>111425.8</v>
      </c>
    </row>
    <row r="24" spans="1:20" ht="21" customHeight="1">
      <c r="A24" s="59" t="s">
        <v>218</v>
      </c>
      <c r="B24" s="60" t="s">
        <v>53</v>
      </c>
      <c r="C24" s="61">
        <v>17264</v>
      </c>
      <c r="D24" s="61">
        <v>0</v>
      </c>
      <c r="E24" s="61">
        <f>C24+D24</f>
        <v>17264</v>
      </c>
      <c r="F24" s="61">
        <f>17245.8</f>
        <v>17245.8</v>
      </c>
      <c r="G24" s="61">
        <f>0</f>
        <v>0</v>
      </c>
      <c r="H24" s="61">
        <f>F24+G24</f>
        <v>17245.8</v>
      </c>
      <c r="I24" s="61">
        <f>0</f>
        <v>0</v>
      </c>
      <c r="J24" s="61">
        <f>0</f>
        <v>0</v>
      </c>
      <c r="K24" s="61">
        <f>I24+J24</f>
        <v>0</v>
      </c>
      <c r="L24" s="61">
        <v>25469</v>
      </c>
      <c r="M24" s="61">
        <f>0</f>
        <v>0</v>
      </c>
      <c r="N24" s="61">
        <f>L24+M24</f>
        <v>25469</v>
      </c>
      <c r="O24" s="61">
        <f>0</f>
        <v>0</v>
      </c>
      <c r="P24" s="61">
        <f>0</f>
        <v>0</v>
      </c>
      <c r="Q24" s="61">
        <f>O24+P24</f>
        <v>0</v>
      </c>
      <c r="R24" s="61">
        <f>0</f>
        <v>0</v>
      </c>
      <c r="S24" s="61">
        <f>0</f>
        <v>0</v>
      </c>
      <c r="T24" s="61">
        <f>R24+S24</f>
        <v>0</v>
      </c>
    </row>
    <row r="25" spans="1:20" ht="21" customHeight="1">
      <c r="A25" s="59" t="s">
        <v>219</v>
      </c>
      <c r="B25" s="60" t="s">
        <v>54</v>
      </c>
      <c r="C25" s="61">
        <v>362479.4</v>
      </c>
      <c r="D25" s="61">
        <f>966</f>
        <v>966</v>
      </c>
      <c r="E25" s="61">
        <f>C25</f>
        <v>362479.4</v>
      </c>
      <c r="F25" s="61">
        <f>365766.3</f>
        <v>365766.3</v>
      </c>
      <c r="G25" s="61">
        <f>960</f>
        <v>960</v>
      </c>
      <c r="H25" s="61">
        <f>F25+G25</f>
        <v>366726.3</v>
      </c>
      <c r="I25" s="61">
        <f>351876.3</f>
        <v>351876.3</v>
      </c>
      <c r="J25" s="61">
        <f>153.9*6</f>
        <v>923.4000000000001</v>
      </c>
      <c r="K25" s="61">
        <f>I25+J25</f>
        <v>352799.7</v>
      </c>
      <c r="L25" s="61">
        <v>343157</v>
      </c>
      <c r="M25" s="61">
        <v>906.1</v>
      </c>
      <c r="N25" s="61">
        <f>L25+M25</f>
        <v>344063.1</v>
      </c>
      <c r="O25" s="61">
        <f>337999.3</f>
        <v>337999.3</v>
      </c>
      <c r="P25" s="61">
        <f>915.8</f>
        <v>915.8</v>
      </c>
      <c r="Q25" s="61">
        <f>O25+P25</f>
        <v>338915.1</v>
      </c>
      <c r="R25" s="61">
        <f>350538.8</f>
        <v>350538.8</v>
      </c>
      <c r="S25" s="61">
        <f>948.8</f>
        <v>948.8</v>
      </c>
      <c r="T25" s="61">
        <f>R25+S25</f>
        <v>351487.6</v>
      </c>
    </row>
    <row r="26" spans="1:20" ht="45.75" customHeight="1">
      <c r="A26" s="59" t="s">
        <v>220</v>
      </c>
      <c r="B26" s="65" t="s">
        <v>231</v>
      </c>
      <c r="C26" s="58">
        <f>19.7+8258.3</f>
        <v>8278</v>
      </c>
      <c r="D26" s="58">
        <f>3107</f>
        <v>3107</v>
      </c>
      <c r="E26" s="58">
        <f>E27+E28</f>
        <v>19.7</v>
      </c>
      <c r="F26" s="58">
        <f>(90.7+2600+7883.8-7883.8)+19.2+74.4</f>
        <v>2784.2999999999997</v>
      </c>
      <c r="G26" s="58">
        <f>(1192.5-8.7-154.6)</f>
        <v>1029.2</v>
      </c>
      <c r="H26" s="58">
        <f>H27+H28</f>
        <v>0</v>
      </c>
      <c r="I26" s="58">
        <f>168.8+6200</f>
        <v>6368.8</v>
      </c>
      <c r="J26" s="58">
        <f>0</f>
        <v>0</v>
      </c>
      <c r="K26" s="58">
        <f>K27+K28</f>
        <v>0</v>
      </c>
      <c r="L26" s="58"/>
      <c r="M26" s="58">
        <f>0</f>
        <v>0</v>
      </c>
      <c r="N26" s="58">
        <f>N27+N28</f>
        <v>0</v>
      </c>
      <c r="O26" s="58"/>
      <c r="P26" s="58">
        <f>0</f>
        <v>0</v>
      </c>
      <c r="Q26" s="58">
        <f>Q27+Q28</f>
        <v>0</v>
      </c>
      <c r="R26" s="58"/>
      <c r="S26" s="58">
        <f>0</f>
        <v>0</v>
      </c>
      <c r="T26" s="58">
        <f>T27+T28</f>
        <v>0</v>
      </c>
    </row>
    <row r="27" spans="1:20" ht="51.75" customHeight="1">
      <c r="A27" s="59"/>
      <c r="B27" s="66" t="s">
        <v>232</v>
      </c>
      <c r="C27" s="61">
        <v>19.7</v>
      </c>
      <c r="D27" s="61">
        <f>0</f>
        <v>0</v>
      </c>
      <c r="E27" s="61">
        <v>19.7</v>
      </c>
      <c r="F27" s="61">
        <f>19.2+74.4</f>
        <v>93.60000000000001</v>
      </c>
      <c r="G27" s="61">
        <f>0</f>
        <v>0</v>
      </c>
      <c r="H27" s="61">
        <f>0</f>
        <v>0</v>
      </c>
      <c r="I27" s="61">
        <f>0</f>
        <v>0</v>
      </c>
      <c r="J27" s="61">
        <f>0</f>
        <v>0</v>
      </c>
      <c r="K27" s="61">
        <f>I27+J27</f>
        <v>0</v>
      </c>
      <c r="L27" s="232">
        <f>0</f>
        <v>0</v>
      </c>
      <c r="M27" s="232">
        <f>0</f>
        <v>0</v>
      </c>
      <c r="N27" s="61">
        <f>L27+M27</f>
        <v>0</v>
      </c>
      <c r="O27" s="232">
        <f>0</f>
        <v>0</v>
      </c>
      <c r="P27" s="232">
        <f>0</f>
        <v>0</v>
      </c>
      <c r="Q27" s="61">
        <f>O27+P27</f>
        <v>0</v>
      </c>
      <c r="R27" s="232">
        <f>0</f>
        <v>0</v>
      </c>
      <c r="S27" s="232">
        <f>0</f>
        <v>0</v>
      </c>
      <c r="T27" s="61">
        <f>R27+S27</f>
        <v>0</v>
      </c>
    </row>
    <row r="28" spans="1:20" ht="55.5" customHeight="1">
      <c r="A28" s="59"/>
      <c r="B28" s="66" t="s">
        <v>233</v>
      </c>
      <c r="C28" s="61">
        <v>8258.3</v>
      </c>
      <c r="D28" s="61">
        <f>0</f>
        <v>0</v>
      </c>
      <c r="E28" s="61"/>
      <c r="F28" s="62">
        <f>(90.7+2600+7883.8-7883.8)</f>
        <v>2690.7</v>
      </c>
      <c r="G28" s="61">
        <f>0</f>
        <v>0</v>
      </c>
      <c r="H28" s="61"/>
      <c r="I28" s="61">
        <f>168.8+6200</f>
        <v>6368.8</v>
      </c>
      <c r="J28" s="61">
        <f>0</f>
        <v>0</v>
      </c>
      <c r="K28" s="61"/>
      <c r="L28" s="232">
        <v>0</v>
      </c>
      <c r="M28" s="232">
        <f>0</f>
        <v>0</v>
      </c>
      <c r="N28" s="61"/>
      <c r="O28" s="232">
        <v>0</v>
      </c>
      <c r="P28" s="232">
        <f>0</f>
        <v>0</v>
      </c>
      <c r="Q28" s="61"/>
      <c r="R28" s="232">
        <v>0</v>
      </c>
      <c r="S28" s="232">
        <f>0</f>
        <v>0</v>
      </c>
      <c r="T28" s="61"/>
    </row>
    <row r="29" spans="1:20" s="1" customFormat="1" ht="24.75" customHeight="1">
      <c r="A29" s="56"/>
      <c r="B29" s="64" t="s">
        <v>56</v>
      </c>
      <c r="C29" s="58">
        <f>C6+C22</f>
        <v>610709.8</v>
      </c>
      <c r="D29" s="58">
        <f>D6+D22</f>
        <v>87421.2</v>
      </c>
      <c r="E29" s="58">
        <f>C29+D29</f>
        <v>698131</v>
      </c>
      <c r="F29" s="58">
        <f>F6+F22</f>
        <v>614679.1</v>
      </c>
      <c r="G29" s="58">
        <f>G6+G22</f>
        <v>85592.4</v>
      </c>
      <c r="H29" s="58">
        <f>F29+G29-4101.7-2690.7-1029.2</f>
        <v>692449.9000000001</v>
      </c>
      <c r="I29" s="58">
        <f>I6+I22</f>
        <v>642417.1</v>
      </c>
      <c r="J29" s="58">
        <f>J6+J22</f>
        <v>93997.6</v>
      </c>
      <c r="K29" s="58">
        <f>I29+J29</f>
        <v>736414.7</v>
      </c>
      <c r="L29" s="58">
        <f>L6+L22</f>
        <v>677701.4</v>
      </c>
      <c r="M29" s="58">
        <f>M6+M22</f>
        <v>101469.29999999999</v>
      </c>
      <c r="N29" s="58">
        <f>L29+M29</f>
        <v>779170.7</v>
      </c>
      <c r="O29" s="58">
        <f>O6+O22</f>
        <v>618516.2</v>
      </c>
      <c r="P29" s="58">
        <f>P6+P22</f>
        <v>105590.7</v>
      </c>
      <c r="Q29" s="58">
        <f>O29+P29</f>
        <v>724106.8999999999</v>
      </c>
      <c r="R29" s="58">
        <f>R6+R22</f>
        <v>645249.6</v>
      </c>
      <c r="S29" s="58">
        <f>S6+S22</f>
        <v>109897.50000000001</v>
      </c>
      <c r="T29" s="58">
        <f>R29+S29</f>
        <v>755147.1</v>
      </c>
    </row>
    <row r="30" spans="1:20" ht="19.5" customHeight="1">
      <c r="A30" s="67"/>
      <c r="B30" s="68" t="s">
        <v>57</v>
      </c>
      <c r="C30" s="58">
        <f>C6</f>
        <v>140527.3</v>
      </c>
      <c r="D30" s="58">
        <f>D6</f>
        <v>78498.5</v>
      </c>
      <c r="E30" s="58">
        <f>C30+D30</f>
        <v>219025.8</v>
      </c>
      <c r="F30" s="58">
        <f>F6</f>
        <v>156832.49999999997</v>
      </c>
      <c r="G30" s="58">
        <f>G6</f>
        <v>79501.5</v>
      </c>
      <c r="H30" s="58">
        <f>F30+G30</f>
        <v>236333.99999999997</v>
      </c>
      <c r="I30" s="58">
        <f>I6</f>
        <v>168170.5</v>
      </c>
      <c r="J30" s="58">
        <f>J6</f>
        <v>90709.1</v>
      </c>
      <c r="K30" s="58">
        <f>I30+J30</f>
        <v>258879.6</v>
      </c>
      <c r="L30" s="58">
        <f>L6</f>
        <v>170110.4</v>
      </c>
      <c r="M30" s="58">
        <f>M6</f>
        <v>98087.4</v>
      </c>
      <c r="N30" s="58">
        <f>L30+M30</f>
        <v>268197.8</v>
      </c>
      <c r="O30" s="58">
        <f>O6</f>
        <v>176575</v>
      </c>
      <c r="P30" s="58">
        <f>P6</f>
        <v>102099.4</v>
      </c>
      <c r="Q30" s="58">
        <f>O30+P30</f>
        <v>278674.4</v>
      </c>
      <c r="R30" s="58">
        <f>R6</f>
        <v>183285</v>
      </c>
      <c r="S30" s="58">
        <f>S6</f>
        <v>106278.80000000002</v>
      </c>
      <c r="T30" s="58">
        <f>R30+S30</f>
        <v>289563.80000000005</v>
      </c>
    </row>
    <row r="31" spans="1:20" ht="23.25" customHeight="1">
      <c r="A31" s="67"/>
      <c r="B31" s="65" t="s">
        <v>58</v>
      </c>
      <c r="C31" s="58">
        <f>C28</f>
        <v>8258.3</v>
      </c>
      <c r="D31" s="58">
        <f>D23+D25+D26</f>
        <v>8922.7</v>
      </c>
      <c r="E31" s="58">
        <f>C31+D31</f>
        <v>17181</v>
      </c>
      <c r="F31" s="58">
        <f>F28</f>
        <v>2690.7</v>
      </c>
      <c r="G31" s="58">
        <f>G23+G26</f>
        <v>5130.9</v>
      </c>
      <c r="H31" s="58">
        <f>F31+G31</f>
        <v>7821.599999999999</v>
      </c>
      <c r="I31" s="58">
        <f>I28</f>
        <v>6368.8</v>
      </c>
      <c r="J31" s="58">
        <f>J23+J26</f>
        <v>2365.1</v>
      </c>
      <c r="K31" s="58">
        <f>I31+J31</f>
        <v>8733.9</v>
      </c>
      <c r="L31" s="58">
        <f>L28</f>
        <v>0</v>
      </c>
      <c r="M31" s="58">
        <f>M23+M26</f>
        <v>2475.8</v>
      </c>
      <c r="N31" s="58">
        <f>L31+M31</f>
        <v>2475.8</v>
      </c>
      <c r="O31" s="58">
        <f>O28</f>
        <v>0</v>
      </c>
      <c r="P31" s="58">
        <f>P23+P26</f>
        <v>2575.5</v>
      </c>
      <c r="Q31" s="58">
        <f>O31+P31</f>
        <v>2575.5</v>
      </c>
      <c r="R31" s="58">
        <f>R28</f>
        <v>0</v>
      </c>
      <c r="S31" s="58">
        <f>S23+S26</f>
        <v>2669.9</v>
      </c>
      <c r="T31" s="58">
        <f>R31+S31</f>
        <v>2669.9</v>
      </c>
    </row>
    <row r="32" spans="1:20" s="1" customFormat="1" ht="45" customHeight="1">
      <c r="A32" s="4"/>
      <c r="B32" s="64" t="s">
        <v>59</v>
      </c>
      <c r="C32" s="58">
        <f>C29-C31</f>
        <v>602451.5</v>
      </c>
      <c r="D32" s="58">
        <f>D29-D31</f>
        <v>78498.5</v>
      </c>
      <c r="E32" s="58">
        <f>C32+D32</f>
        <v>680950</v>
      </c>
      <c r="F32" s="58">
        <f>F29-F31</f>
        <v>611988.4</v>
      </c>
      <c r="G32" s="58">
        <f>G29-G31</f>
        <v>80461.5</v>
      </c>
      <c r="H32" s="58">
        <f>F32+G32</f>
        <v>692449.9</v>
      </c>
      <c r="I32" s="58">
        <f>I29-I31</f>
        <v>636048.2999999999</v>
      </c>
      <c r="J32" s="58">
        <f>J29-J31</f>
        <v>91632.5</v>
      </c>
      <c r="K32" s="58">
        <f>I32+J32</f>
        <v>727680.7999999999</v>
      </c>
      <c r="L32" s="58">
        <f>L29-L31</f>
        <v>677701.4</v>
      </c>
      <c r="M32" s="58">
        <f>M29-M31</f>
        <v>98993.49999999999</v>
      </c>
      <c r="N32" s="58">
        <f>L32+M32</f>
        <v>776694.9</v>
      </c>
      <c r="O32" s="58">
        <f>O29-O31</f>
        <v>618516.2</v>
      </c>
      <c r="P32" s="58">
        <f>P29-P31</f>
        <v>103015.2</v>
      </c>
      <c r="Q32" s="58">
        <f>O32+P32</f>
        <v>721531.3999999999</v>
      </c>
      <c r="R32" s="58">
        <f>R29-R31</f>
        <v>645249.6</v>
      </c>
      <c r="S32" s="58">
        <f>S29-S31</f>
        <v>107227.60000000002</v>
      </c>
      <c r="T32" s="58">
        <f>R32+S32</f>
        <v>752477.2</v>
      </c>
    </row>
    <row r="33" spans="3:18" ht="16.5">
      <c r="C33" s="69"/>
      <c r="F33" s="69"/>
      <c r="I33" s="69"/>
      <c r="L33" s="69"/>
      <c r="O33" s="69"/>
      <c r="R33" s="69"/>
    </row>
    <row r="34" spans="3:20" ht="16.5">
      <c r="C34" s="69"/>
      <c r="D34" s="69"/>
      <c r="E34" s="69"/>
      <c r="F34" s="69"/>
      <c r="G34" s="70"/>
      <c r="H34" s="69"/>
      <c r="I34" s="69"/>
      <c r="J34" s="70"/>
      <c r="K34" s="69"/>
      <c r="L34" s="69"/>
      <c r="M34" s="70"/>
      <c r="N34" s="69"/>
      <c r="O34" s="69"/>
      <c r="P34" s="70"/>
      <c r="Q34" s="69"/>
      <c r="R34" s="69"/>
      <c r="S34" s="70"/>
      <c r="T34" s="69"/>
    </row>
    <row r="35" spans="3:18" ht="16.5">
      <c r="C35" s="69"/>
      <c r="F35" s="69"/>
      <c r="I35" s="69"/>
      <c r="L35" s="69"/>
      <c r="O35" s="69"/>
      <c r="R35" s="69"/>
    </row>
    <row r="36" spans="3:18" ht="16.5">
      <c r="C36" s="69"/>
      <c r="F36" s="69"/>
      <c r="I36" s="69"/>
      <c r="L36" s="69"/>
      <c r="O36" s="69"/>
      <c r="R36" s="69"/>
    </row>
    <row r="37" spans="3:18" ht="16.5">
      <c r="C37" s="69"/>
      <c r="F37" s="69"/>
      <c r="I37" s="69"/>
      <c r="L37" s="69"/>
      <c r="O37" s="69"/>
      <c r="R37" s="69"/>
    </row>
    <row r="38" spans="3:18" ht="16.5">
      <c r="C38" s="69"/>
      <c r="F38" s="69"/>
      <c r="I38" s="69"/>
      <c r="L38" s="69"/>
      <c r="O38" s="69"/>
      <c r="R38" s="69"/>
    </row>
    <row r="39" spans="3:18" ht="16.5">
      <c r="C39" s="69"/>
      <c r="F39" s="69"/>
      <c r="I39" s="69"/>
      <c r="L39" s="69"/>
      <c r="O39" s="69"/>
      <c r="R39" s="69"/>
    </row>
    <row r="40" spans="3:18" ht="16.5">
      <c r="C40" s="69"/>
      <c r="F40" s="69"/>
      <c r="I40" s="69"/>
      <c r="L40" s="69"/>
      <c r="O40" s="69"/>
      <c r="R40" s="69"/>
    </row>
    <row r="41" spans="3:18" ht="16.5">
      <c r="C41" s="69"/>
      <c r="F41" s="69"/>
      <c r="I41" s="69"/>
      <c r="L41" s="69"/>
      <c r="O41" s="69"/>
      <c r="R41" s="69"/>
    </row>
    <row r="42" spans="3:18" ht="16.5">
      <c r="C42" s="69"/>
      <c r="F42" s="69"/>
      <c r="I42" s="69"/>
      <c r="L42" s="69"/>
      <c r="O42" s="69"/>
      <c r="R42" s="69"/>
    </row>
    <row r="43" spans="3:18" ht="16.5">
      <c r="C43" s="69"/>
      <c r="F43" s="69"/>
      <c r="I43" s="69"/>
      <c r="L43" s="69"/>
      <c r="O43" s="69"/>
      <c r="R43" s="69"/>
    </row>
    <row r="44" spans="3:18" ht="16.5">
      <c r="C44" s="69"/>
      <c r="F44" s="69"/>
      <c r="I44" s="69"/>
      <c r="L44" s="69"/>
      <c r="O44" s="69"/>
      <c r="R44" s="69"/>
    </row>
    <row r="45" spans="3:18" ht="16.5">
      <c r="C45" s="69"/>
      <c r="F45" s="69"/>
      <c r="I45" s="69"/>
      <c r="L45" s="69"/>
      <c r="O45" s="69"/>
      <c r="R45" s="69"/>
    </row>
    <row r="46" spans="3:18" ht="16.5">
      <c r="C46" s="69"/>
      <c r="F46" s="69"/>
      <c r="I46" s="69"/>
      <c r="L46" s="69"/>
      <c r="O46" s="69"/>
      <c r="R46" s="69"/>
    </row>
    <row r="47" spans="3:18" ht="16.5">
      <c r="C47" s="69"/>
      <c r="F47" s="69"/>
      <c r="I47" s="69"/>
      <c r="L47" s="69"/>
      <c r="O47" s="69"/>
      <c r="R47" s="69"/>
    </row>
    <row r="48" spans="3:18" ht="16.5">
      <c r="C48" s="69"/>
      <c r="F48" s="69"/>
      <c r="I48" s="69"/>
      <c r="L48" s="69"/>
      <c r="O48" s="69"/>
      <c r="R48" s="69"/>
    </row>
    <row r="49" spans="3:18" ht="16.5">
      <c r="C49" s="69"/>
      <c r="F49" s="69"/>
      <c r="I49" s="69"/>
      <c r="L49" s="69"/>
      <c r="O49" s="69"/>
      <c r="R49" s="69"/>
    </row>
    <row r="50" spans="3:18" ht="16.5">
      <c r="C50" s="69"/>
      <c r="F50" s="69"/>
      <c r="I50" s="69"/>
      <c r="L50" s="69"/>
      <c r="O50" s="69"/>
      <c r="R50" s="69"/>
    </row>
    <row r="51" spans="3:18" ht="16.5">
      <c r="C51" s="69"/>
      <c r="F51" s="69"/>
      <c r="I51" s="69"/>
      <c r="L51" s="69"/>
      <c r="O51" s="69"/>
      <c r="R51" s="69"/>
    </row>
    <row r="52" spans="3:18" ht="16.5">
      <c r="C52" s="69"/>
      <c r="F52" s="69"/>
      <c r="I52" s="69"/>
      <c r="L52" s="69"/>
      <c r="O52" s="69"/>
      <c r="R52" s="69"/>
    </row>
    <row r="53" spans="3:18" ht="16.5">
      <c r="C53" s="69"/>
      <c r="F53" s="69"/>
      <c r="I53" s="69"/>
      <c r="L53" s="69"/>
      <c r="O53" s="69"/>
      <c r="R53" s="69"/>
    </row>
    <row r="54" spans="3:18" ht="16.5">
      <c r="C54" s="69"/>
      <c r="F54" s="69"/>
      <c r="I54" s="69"/>
      <c r="L54" s="69"/>
      <c r="O54" s="69"/>
      <c r="R54" s="69"/>
    </row>
    <row r="55" spans="3:18" ht="16.5">
      <c r="C55" s="69"/>
      <c r="F55" s="69"/>
      <c r="I55" s="69"/>
      <c r="L55" s="69"/>
      <c r="O55" s="69"/>
      <c r="R55" s="69"/>
    </row>
    <row r="56" spans="3:18" ht="16.5">
      <c r="C56" s="69"/>
      <c r="F56" s="69"/>
      <c r="I56" s="69"/>
      <c r="L56" s="69"/>
      <c r="O56" s="69"/>
      <c r="R56" s="69"/>
    </row>
    <row r="57" spans="3:18" ht="16.5">
      <c r="C57" s="69"/>
      <c r="F57" s="69"/>
      <c r="I57" s="69"/>
      <c r="L57" s="69"/>
      <c r="O57" s="69"/>
      <c r="R57" s="69"/>
    </row>
    <row r="58" spans="3:18" ht="16.5">
      <c r="C58" s="69"/>
      <c r="F58" s="69"/>
      <c r="I58" s="69"/>
      <c r="L58" s="69"/>
      <c r="O58" s="69"/>
      <c r="R58" s="69"/>
    </row>
    <row r="59" spans="3:18" ht="16.5">
      <c r="C59" s="69"/>
      <c r="F59" s="69"/>
      <c r="I59" s="69"/>
      <c r="L59" s="69"/>
      <c r="O59" s="69"/>
      <c r="R59" s="69"/>
    </row>
    <row r="60" spans="3:18" ht="16.5">
      <c r="C60" s="69"/>
      <c r="F60" s="69"/>
      <c r="I60" s="69"/>
      <c r="L60" s="69"/>
      <c r="O60" s="69"/>
      <c r="R60" s="69"/>
    </row>
    <row r="61" spans="3:18" ht="16.5">
      <c r="C61" s="69"/>
      <c r="F61" s="69"/>
      <c r="I61" s="69"/>
      <c r="L61" s="69"/>
      <c r="O61" s="69"/>
      <c r="R61" s="69"/>
    </row>
    <row r="62" spans="3:18" ht="16.5">
      <c r="C62" s="69"/>
      <c r="F62" s="69"/>
      <c r="I62" s="69"/>
      <c r="L62" s="69"/>
      <c r="O62" s="69"/>
      <c r="R62" s="69"/>
    </row>
    <row r="63" spans="3:18" ht="16.5">
      <c r="C63" s="69"/>
      <c r="F63" s="69"/>
      <c r="I63" s="69"/>
      <c r="L63" s="69"/>
      <c r="O63" s="69"/>
      <c r="R63" s="69"/>
    </row>
    <row r="64" spans="3:18" ht="16.5">
      <c r="C64" s="69"/>
      <c r="F64" s="69"/>
      <c r="I64" s="69"/>
      <c r="L64" s="69"/>
      <c r="O64" s="69"/>
      <c r="R64" s="69"/>
    </row>
    <row r="65" spans="3:18" ht="16.5">
      <c r="C65" s="69"/>
      <c r="F65" s="69"/>
      <c r="I65" s="69"/>
      <c r="L65" s="69"/>
      <c r="O65" s="69"/>
      <c r="R65" s="69"/>
    </row>
    <row r="66" spans="3:18" ht="16.5">
      <c r="C66" s="69"/>
      <c r="F66" s="69"/>
      <c r="I66" s="69"/>
      <c r="L66" s="69"/>
      <c r="O66" s="69"/>
      <c r="R66" s="69"/>
    </row>
    <row r="67" spans="3:18" ht="16.5">
      <c r="C67" s="69"/>
      <c r="F67" s="69"/>
      <c r="I67" s="69"/>
      <c r="L67" s="69"/>
      <c r="O67" s="69"/>
      <c r="R67" s="69"/>
    </row>
    <row r="68" spans="3:18" ht="16.5">
      <c r="C68" s="69"/>
      <c r="F68" s="69"/>
      <c r="I68" s="69"/>
      <c r="L68" s="69"/>
      <c r="O68" s="69"/>
      <c r="R68" s="69"/>
    </row>
    <row r="69" spans="3:18" ht="16.5">
      <c r="C69" s="69"/>
      <c r="F69" s="69"/>
      <c r="I69" s="69"/>
      <c r="L69" s="69"/>
      <c r="O69" s="69"/>
      <c r="R69" s="69"/>
    </row>
    <row r="70" spans="3:18" ht="16.5">
      <c r="C70" s="69"/>
      <c r="F70" s="69"/>
      <c r="I70" s="69"/>
      <c r="L70" s="69"/>
      <c r="O70" s="69"/>
      <c r="R70" s="69"/>
    </row>
    <row r="71" spans="3:18" ht="16.5">
      <c r="C71" s="69"/>
      <c r="F71" s="69"/>
      <c r="I71" s="69"/>
      <c r="L71" s="69"/>
      <c r="O71" s="69"/>
      <c r="R71" s="69"/>
    </row>
    <row r="72" spans="3:18" ht="16.5">
      <c r="C72" s="69"/>
      <c r="F72" s="69"/>
      <c r="I72" s="69"/>
      <c r="L72" s="69"/>
      <c r="O72" s="69"/>
      <c r="R72" s="69"/>
    </row>
    <row r="73" spans="3:18" ht="16.5">
      <c r="C73" s="69"/>
      <c r="F73" s="69"/>
      <c r="I73" s="69"/>
      <c r="L73" s="69"/>
      <c r="O73" s="69"/>
      <c r="R73" s="69"/>
    </row>
    <row r="74" spans="3:18" ht="16.5">
      <c r="C74" s="69"/>
      <c r="F74" s="69"/>
      <c r="I74" s="69"/>
      <c r="L74" s="69"/>
      <c r="O74" s="69"/>
      <c r="R74" s="69"/>
    </row>
    <row r="75" spans="3:18" ht="16.5">
      <c r="C75" s="69"/>
      <c r="F75" s="69"/>
      <c r="I75" s="69"/>
      <c r="L75" s="69"/>
      <c r="O75" s="69"/>
      <c r="R75" s="69"/>
    </row>
    <row r="76" spans="3:18" ht="16.5">
      <c r="C76" s="69"/>
      <c r="F76" s="69"/>
      <c r="I76" s="69"/>
      <c r="L76" s="69"/>
      <c r="O76" s="69"/>
      <c r="R76" s="69"/>
    </row>
    <row r="77" spans="3:18" ht="16.5">
      <c r="C77" s="69"/>
      <c r="F77" s="69"/>
      <c r="I77" s="69"/>
      <c r="L77" s="69"/>
      <c r="O77" s="69"/>
      <c r="R77" s="69"/>
    </row>
    <row r="78" spans="3:18" ht="16.5">
      <c r="C78" s="69"/>
      <c r="F78" s="69"/>
      <c r="I78" s="69"/>
      <c r="L78" s="69"/>
      <c r="O78" s="69"/>
      <c r="R78" s="69"/>
    </row>
    <row r="79" spans="3:18" ht="16.5">
      <c r="C79" s="69"/>
      <c r="F79" s="69"/>
      <c r="I79" s="69"/>
      <c r="L79" s="69"/>
      <c r="O79" s="69"/>
      <c r="R79" s="69"/>
    </row>
    <row r="80" spans="3:18" ht="16.5">
      <c r="C80" s="69"/>
      <c r="F80" s="69"/>
      <c r="I80" s="69"/>
      <c r="L80" s="69"/>
      <c r="O80" s="69"/>
      <c r="R80" s="69"/>
    </row>
    <row r="81" spans="3:18" ht="16.5">
      <c r="C81" s="69"/>
      <c r="F81" s="69"/>
      <c r="I81" s="69"/>
      <c r="L81" s="69"/>
      <c r="O81" s="69"/>
      <c r="R81" s="69"/>
    </row>
    <row r="82" spans="3:18" ht="16.5">
      <c r="C82" s="69"/>
      <c r="F82" s="69"/>
      <c r="I82" s="69"/>
      <c r="L82" s="69"/>
      <c r="O82" s="69"/>
      <c r="R82" s="69"/>
    </row>
    <row r="83" spans="3:18" ht="16.5">
      <c r="C83" s="69"/>
      <c r="F83" s="69"/>
      <c r="I83" s="69"/>
      <c r="L83" s="69"/>
      <c r="O83" s="69"/>
      <c r="R83" s="69"/>
    </row>
    <row r="84" spans="3:18" ht="16.5">
      <c r="C84" s="69"/>
      <c r="F84" s="69"/>
      <c r="I84" s="69"/>
      <c r="L84" s="69"/>
      <c r="O84" s="69"/>
      <c r="R84" s="69"/>
    </row>
    <row r="85" spans="3:18" ht="16.5">
      <c r="C85" s="69"/>
      <c r="F85" s="69"/>
      <c r="I85" s="69"/>
      <c r="L85" s="69"/>
      <c r="O85" s="69"/>
      <c r="R85" s="69"/>
    </row>
    <row r="86" spans="3:18" ht="16.5">
      <c r="C86" s="69"/>
      <c r="F86" s="69"/>
      <c r="I86" s="69"/>
      <c r="L86" s="69"/>
      <c r="O86" s="69"/>
      <c r="R86" s="69"/>
    </row>
    <row r="87" spans="3:18" ht="16.5">
      <c r="C87" s="69"/>
      <c r="F87" s="69"/>
      <c r="I87" s="69"/>
      <c r="L87" s="69"/>
      <c r="O87" s="69"/>
      <c r="R87" s="69"/>
    </row>
    <row r="88" spans="3:18" ht="16.5">
      <c r="C88" s="69"/>
      <c r="F88" s="69"/>
      <c r="I88" s="69"/>
      <c r="L88" s="69"/>
      <c r="O88" s="69"/>
      <c r="R88" s="69"/>
    </row>
    <row r="89" spans="3:18" ht="16.5">
      <c r="C89" s="69"/>
      <c r="F89" s="69"/>
      <c r="I89" s="69"/>
      <c r="L89" s="69"/>
      <c r="O89" s="69"/>
      <c r="R89" s="69"/>
    </row>
    <row r="90" spans="3:18" ht="16.5">
      <c r="C90" s="69"/>
      <c r="F90" s="69"/>
      <c r="I90" s="69"/>
      <c r="L90" s="69"/>
      <c r="O90" s="69"/>
      <c r="R90" s="69"/>
    </row>
    <row r="91" spans="3:18" ht="16.5">
      <c r="C91" s="69"/>
      <c r="F91" s="69"/>
      <c r="I91" s="69"/>
      <c r="L91" s="69"/>
      <c r="O91" s="69"/>
      <c r="R91" s="69"/>
    </row>
    <row r="92" spans="3:18" ht="16.5">
      <c r="C92" s="69"/>
      <c r="F92" s="69"/>
      <c r="I92" s="69"/>
      <c r="L92" s="69"/>
      <c r="O92" s="69"/>
      <c r="R92" s="69"/>
    </row>
    <row r="93" spans="3:18" ht="16.5">
      <c r="C93" s="69"/>
      <c r="F93" s="69"/>
      <c r="I93" s="69"/>
      <c r="L93" s="69"/>
      <c r="O93" s="69"/>
      <c r="R93" s="69"/>
    </row>
    <row r="94" spans="3:18" ht="16.5">
      <c r="C94" s="69"/>
      <c r="F94" s="69"/>
      <c r="I94" s="69"/>
      <c r="L94" s="69"/>
      <c r="O94" s="69"/>
      <c r="R94" s="69"/>
    </row>
    <row r="95" spans="3:18" ht="16.5">
      <c r="C95" s="69"/>
      <c r="F95" s="69"/>
      <c r="I95" s="69"/>
      <c r="L95" s="69"/>
      <c r="O95" s="69"/>
      <c r="R95" s="69"/>
    </row>
    <row r="96" spans="3:18" ht="16.5">
      <c r="C96" s="69"/>
      <c r="F96" s="69"/>
      <c r="I96" s="69"/>
      <c r="L96" s="69"/>
      <c r="O96" s="69"/>
      <c r="R96" s="69"/>
    </row>
    <row r="97" spans="3:18" ht="16.5">
      <c r="C97" s="69"/>
      <c r="F97" s="69"/>
      <c r="I97" s="69"/>
      <c r="L97" s="69"/>
      <c r="O97" s="69"/>
      <c r="R97" s="69"/>
    </row>
    <row r="98" spans="3:18" ht="16.5">
      <c r="C98" s="69"/>
      <c r="F98" s="69"/>
      <c r="I98" s="69"/>
      <c r="L98" s="69"/>
      <c r="O98" s="69"/>
      <c r="R98" s="69"/>
    </row>
    <row r="99" spans="3:18" ht="16.5">
      <c r="C99" s="69"/>
      <c r="F99" s="69"/>
      <c r="I99" s="69"/>
      <c r="L99" s="69"/>
      <c r="O99" s="69"/>
      <c r="R99" s="69"/>
    </row>
    <row r="100" spans="3:18" ht="16.5">
      <c r="C100" s="69"/>
      <c r="F100" s="69"/>
      <c r="I100" s="69"/>
      <c r="L100" s="69"/>
      <c r="O100" s="69"/>
      <c r="R100" s="69"/>
    </row>
    <row r="101" spans="3:18" ht="16.5">
      <c r="C101" s="69"/>
      <c r="F101" s="69"/>
      <c r="I101" s="69"/>
      <c r="L101" s="69"/>
      <c r="O101" s="69"/>
      <c r="R101" s="69"/>
    </row>
    <row r="102" spans="3:18" ht="16.5">
      <c r="C102" s="69"/>
      <c r="F102" s="69"/>
      <c r="I102" s="69"/>
      <c r="L102" s="69"/>
      <c r="O102" s="69"/>
      <c r="R102" s="69"/>
    </row>
    <row r="103" spans="3:18" ht="16.5">
      <c r="C103" s="69"/>
      <c r="F103" s="69"/>
      <c r="I103" s="69"/>
      <c r="L103" s="69"/>
      <c r="O103" s="69"/>
      <c r="R103" s="69"/>
    </row>
    <row r="104" spans="3:18" ht="16.5">
      <c r="C104" s="69"/>
      <c r="F104" s="69"/>
      <c r="I104" s="69"/>
      <c r="L104" s="69"/>
      <c r="O104" s="69"/>
      <c r="R104" s="69"/>
    </row>
    <row r="105" spans="3:18" ht="16.5">
      <c r="C105" s="69"/>
      <c r="F105" s="69"/>
      <c r="I105" s="69"/>
      <c r="L105" s="69"/>
      <c r="O105" s="69"/>
      <c r="R105" s="69"/>
    </row>
    <row r="106" spans="3:18" ht="16.5">
      <c r="C106" s="69"/>
      <c r="F106" s="69"/>
      <c r="I106" s="69"/>
      <c r="L106" s="69"/>
      <c r="O106" s="69"/>
      <c r="R106" s="69"/>
    </row>
    <row r="107" spans="3:18" ht="16.5">
      <c r="C107" s="69"/>
      <c r="F107" s="69"/>
      <c r="I107" s="69"/>
      <c r="L107" s="69"/>
      <c r="O107" s="69"/>
      <c r="R107" s="69"/>
    </row>
    <row r="108" spans="3:18" ht="16.5">
      <c r="C108" s="69"/>
      <c r="F108" s="69"/>
      <c r="I108" s="69"/>
      <c r="L108" s="69"/>
      <c r="O108" s="69"/>
      <c r="R108" s="69"/>
    </row>
    <row r="109" spans="3:18" ht="16.5">
      <c r="C109" s="69"/>
      <c r="F109" s="69"/>
      <c r="I109" s="69"/>
      <c r="L109" s="69"/>
      <c r="O109" s="69"/>
      <c r="R109" s="69"/>
    </row>
    <row r="110" spans="3:18" ht="16.5">
      <c r="C110" s="69"/>
      <c r="F110" s="69"/>
      <c r="I110" s="69"/>
      <c r="L110" s="69"/>
      <c r="O110" s="69"/>
      <c r="R110" s="69"/>
    </row>
    <row r="111" spans="3:18" ht="16.5">
      <c r="C111" s="69"/>
      <c r="F111" s="69"/>
      <c r="I111" s="69"/>
      <c r="L111" s="69"/>
      <c r="O111" s="69"/>
      <c r="R111" s="69"/>
    </row>
    <row r="112" spans="3:18" ht="16.5">
      <c r="C112" s="69"/>
      <c r="F112" s="69"/>
      <c r="I112" s="69"/>
      <c r="L112" s="69"/>
      <c r="O112" s="69"/>
      <c r="R112" s="69"/>
    </row>
    <row r="113" spans="3:18" ht="16.5">
      <c r="C113" s="69"/>
      <c r="F113" s="69"/>
      <c r="I113" s="69"/>
      <c r="L113" s="69"/>
      <c r="O113" s="69"/>
      <c r="R113" s="69"/>
    </row>
    <row r="114" spans="3:18" ht="16.5">
      <c r="C114" s="69"/>
      <c r="F114" s="69"/>
      <c r="I114" s="69"/>
      <c r="L114" s="69"/>
      <c r="O114" s="69"/>
      <c r="R114" s="69"/>
    </row>
    <row r="115" spans="3:18" ht="16.5">
      <c r="C115" s="69"/>
      <c r="F115" s="69"/>
      <c r="I115" s="69"/>
      <c r="L115" s="69"/>
      <c r="O115" s="69"/>
      <c r="R115" s="69"/>
    </row>
    <row r="116" spans="3:18" ht="16.5">
      <c r="C116" s="69"/>
      <c r="F116" s="69"/>
      <c r="I116" s="69"/>
      <c r="L116" s="69"/>
      <c r="O116" s="69"/>
      <c r="R116" s="69"/>
    </row>
    <row r="117" spans="3:18" ht="16.5">
      <c r="C117" s="69"/>
      <c r="F117" s="69"/>
      <c r="I117" s="69"/>
      <c r="L117" s="69"/>
      <c r="O117" s="69"/>
      <c r="R117" s="69"/>
    </row>
    <row r="118" spans="3:18" ht="16.5">
      <c r="C118" s="69"/>
      <c r="F118" s="69"/>
      <c r="I118" s="69"/>
      <c r="L118" s="69"/>
      <c r="O118" s="69"/>
      <c r="R118" s="69"/>
    </row>
    <row r="119" spans="3:18" ht="16.5">
      <c r="C119" s="69"/>
      <c r="F119" s="69"/>
      <c r="I119" s="69"/>
      <c r="L119" s="69"/>
      <c r="O119" s="69"/>
      <c r="R119" s="69"/>
    </row>
    <row r="120" spans="3:18" ht="16.5">
      <c r="C120" s="69"/>
      <c r="F120" s="69"/>
      <c r="I120" s="69"/>
      <c r="L120" s="69"/>
      <c r="O120" s="69"/>
      <c r="R120" s="69"/>
    </row>
    <row r="121" spans="3:18" ht="16.5">
      <c r="C121" s="69"/>
      <c r="F121" s="69"/>
      <c r="I121" s="69"/>
      <c r="L121" s="69"/>
      <c r="O121" s="69"/>
      <c r="R121" s="69"/>
    </row>
    <row r="122" spans="3:18" ht="16.5">
      <c r="C122" s="69"/>
      <c r="F122" s="69"/>
      <c r="I122" s="69"/>
      <c r="L122" s="69"/>
      <c r="O122" s="69"/>
      <c r="R122" s="69"/>
    </row>
    <row r="123" spans="3:18" ht="16.5">
      <c r="C123" s="69"/>
      <c r="F123" s="69"/>
      <c r="I123" s="69"/>
      <c r="L123" s="69"/>
      <c r="O123" s="69"/>
      <c r="R123" s="69"/>
    </row>
    <row r="124" spans="3:18" ht="16.5">
      <c r="C124" s="69"/>
      <c r="F124" s="69"/>
      <c r="I124" s="69"/>
      <c r="L124" s="69"/>
      <c r="O124" s="69"/>
      <c r="R124" s="69"/>
    </row>
    <row r="125" spans="3:18" ht="16.5">
      <c r="C125" s="69"/>
      <c r="F125" s="69"/>
      <c r="I125" s="69"/>
      <c r="L125" s="69"/>
      <c r="O125" s="69"/>
      <c r="R125" s="69"/>
    </row>
    <row r="126" spans="3:18" ht="16.5">
      <c r="C126" s="69"/>
      <c r="F126" s="69"/>
      <c r="I126" s="69"/>
      <c r="L126" s="69"/>
      <c r="O126" s="69"/>
      <c r="R126" s="69"/>
    </row>
    <row r="127" spans="3:18" ht="16.5">
      <c r="C127" s="69"/>
      <c r="F127" s="69"/>
      <c r="I127" s="69"/>
      <c r="L127" s="69"/>
      <c r="O127" s="69"/>
      <c r="R127" s="69"/>
    </row>
    <row r="128" spans="3:18" ht="16.5">
      <c r="C128" s="69"/>
      <c r="F128" s="69"/>
      <c r="I128" s="69"/>
      <c r="L128" s="69"/>
      <c r="O128" s="69"/>
      <c r="R128" s="69"/>
    </row>
    <row r="129" spans="3:18" ht="16.5">
      <c r="C129" s="69"/>
      <c r="F129" s="69"/>
      <c r="I129" s="69"/>
      <c r="L129" s="69"/>
      <c r="O129" s="69"/>
      <c r="R129" s="69"/>
    </row>
    <row r="130" spans="3:18" ht="16.5">
      <c r="C130" s="69"/>
      <c r="F130" s="69"/>
      <c r="I130" s="69"/>
      <c r="L130" s="69"/>
      <c r="O130" s="69"/>
      <c r="R130" s="69"/>
    </row>
    <row r="131" spans="3:18" ht="16.5">
      <c r="C131" s="69"/>
      <c r="F131" s="69"/>
      <c r="I131" s="69"/>
      <c r="L131" s="69"/>
      <c r="O131" s="69"/>
      <c r="R131" s="69"/>
    </row>
    <row r="132" spans="3:18" ht="16.5">
      <c r="C132" s="69"/>
      <c r="F132" s="69"/>
      <c r="I132" s="69"/>
      <c r="L132" s="69"/>
      <c r="O132" s="69"/>
      <c r="R132" s="69"/>
    </row>
    <row r="133" spans="3:18" ht="16.5">
      <c r="C133" s="69"/>
      <c r="F133" s="69"/>
      <c r="I133" s="69"/>
      <c r="L133" s="69"/>
      <c r="O133" s="69"/>
      <c r="R133" s="69"/>
    </row>
    <row r="134" spans="3:18" ht="16.5">
      <c r="C134" s="69"/>
      <c r="F134" s="69"/>
      <c r="I134" s="69"/>
      <c r="L134" s="69"/>
      <c r="O134" s="69"/>
      <c r="R134" s="69"/>
    </row>
    <row r="135" spans="3:18" ht="16.5">
      <c r="C135" s="69"/>
      <c r="F135" s="69"/>
      <c r="I135" s="69"/>
      <c r="L135" s="69"/>
      <c r="O135" s="69"/>
      <c r="R135" s="69"/>
    </row>
    <row r="136" spans="3:18" ht="16.5">
      <c r="C136" s="69"/>
      <c r="F136" s="69"/>
      <c r="I136" s="69"/>
      <c r="L136" s="69"/>
      <c r="O136" s="69"/>
      <c r="R136" s="69"/>
    </row>
    <row r="137" spans="3:18" ht="16.5">
      <c r="C137" s="69"/>
      <c r="F137" s="69"/>
      <c r="I137" s="69"/>
      <c r="L137" s="69"/>
      <c r="O137" s="69"/>
      <c r="R137" s="69"/>
    </row>
    <row r="138" spans="3:18" ht="16.5">
      <c r="C138" s="69"/>
      <c r="F138" s="69"/>
      <c r="I138" s="69"/>
      <c r="L138" s="69"/>
      <c r="O138" s="69"/>
      <c r="R138" s="69"/>
    </row>
    <row r="139" spans="3:18" ht="16.5">
      <c r="C139" s="69"/>
      <c r="F139" s="69"/>
      <c r="I139" s="69"/>
      <c r="L139" s="69"/>
      <c r="O139" s="69"/>
      <c r="R139" s="69"/>
    </row>
    <row r="140" spans="3:18" ht="16.5">
      <c r="C140" s="69"/>
      <c r="F140" s="69"/>
      <c r="I140" s="69"/>
      <c r="L140" s="69"/>
      <c r="O140" s="69"/>
      <c r="R140" s="69"/>
    </row>
    <row r="141" spans="3:18" ht="16.5">
      <c r="C141" s="69"/>
      <c r="F141" s="69"/>
      <c r="I141" s="69"/>
      <c r="L141" s="69"/>
      <c r="O141" s="69"/>
      <c r="R141" s="69"/>
    </row>
    <row r="142" spans="3:18" ht="16.5">
      <c r="C142" s="69"/>
      <c r="F142" s="69"/>
      <c r="I142" s="69"/>
      <c r="L142" s="69"/>
      <c r="O142" s="69"/>
      <c r="R142" s="69"/>
    </row>
    <row r="143" spans="3:18" ht="16.5">
      <c r="C143" s="69"/>
      <c r="F143" s="69"/>
      <c r="I143" s="69"/>
      <c r="L143" s="69"/>
      <c r="O143" s="69"/>
      <c r="R143" s="69"/>
    </row>
    <row r="144" spans="3:18" ht="16.5">
      <c r="C144" s="69"/>
      <c r="F144" s="69"/>
      <c r="I144" s="69"/>
      <c r="L144" s="69"/>
      <c r="O144" s="69"/>
      <c r="R144" s="69"/>
    </row>
    <row r="145" spans="3:18" ht="16.5">
      <c r="C145" s="69"/>
      <c r="F145" s="69"/>
      <c r="I145" s="69"/>
      <c r="L145" s="69"/>
      <c r="O145" s="69"/>
      <c r="R145" s="69"/>
    </row>
    <row r="146" spans="3:18" ht="16.5">
      <c r="C146" s="69"/>
      <c r="F146" s="69"/>
      <c r="I146" s="69"/>
      <c r="L146" s="69"/>
      <c r="O146" s="69"/>
      <c r="R146" s="69"/>
    </row>
    <row r="147" spans="3:18" ht="16.5">
      <c r="C147" s="69"/>
      <c r="F147" s="69"/>
      <c r="I147" s="69"/>
      <c r="L147" s="69"/>
      <c r="O147" s="69"/>
      <c r="R147" s="69"/>
    </row>
    <row r="148" spans="3:18" ht="16.5">
      <c r="C148" s="69"/>
      <c r="F148" s="69"/>
      <c r="I148" s="69"/>
      <c r="L148" s="69"/>
      <c r="O148" s="69"/>
      <c r="R148" s="69"/>
    </row>
    <row r="149" spans="3:18" ht="16.5">
      <c r="C149" s="69"/>
      <c r="F149" s="69"/>
      <c r="I149" s="69"/>
      <c r="L149" s="69"/>
      <c r="O149" s="69"/>
      <c r="R149" s="69"/>
    </row>
    <row r="150" spans="3:18" ht="16.5">
      <c r="C150" s="69"/>
      <c r="F150" s="69"/>
      <c r="I150" s="69"/>
      <c r="L150" s="69"/>
      <c r="O150" s="69"/>
      <c r="R150" s="69"/>
    </row>
    <row r="151" spans="3:18" ht="16.5">
      <c r="C151" s="69"/>
      <c r="F151" s="69"/>
      <c r="I151" s="69"/>
      <c r="L151" s="69"/>
      <c r="O151" s="69"/>
      <c r="R151" s="69"/>
    </row>
    <row r="152" spans="3:18" ht="16.5">
      <c r="C152" s="69"/>
      <c r="F152" s="69"/>
      <c r="I152" s="69"/>
      <c r="L152" s="69"/>
      <c r="O152" s="69"/>
      <c r="R152" s="69"/>
    </row>
    <row r="153" spans="3:18" ht="16.5">
      <c r="C153" s="69"/>
      <c r="F153" s="69"/>
      <c r="I153" s="69"/>
      <c r="L153" s="69"/>
      <c r="O153" s="69"/>
      <c r="R153" s="69"/>
    </row>
    <row r="154" spans="3:18" ht="16.5">
      <c r="C154" s="69"/>
      <c r="F154" s="69"/>
      <c r="I154" s="69"/>
      <c r="L154" s="69"/>
      <c r="O154" s="69"/>
      <c r="R154" s="69"/>
    </row>
    <row r="155" spans="3:18" ht="16.5">
      <c r="C155" s="69"/>
      <c r="F155" s="69"/>
      <c r="I155" s="69"/>
      <c r="L155" s="69"/>
      <c r="O155" s="69"/>
      <c r="R155" s="69"/>
    </row>
    <row r="156" spans="3:18" ht="16.5">
      <c r="C156" s="69"/>
      <c r="F156" s="69"/>
      <c r="I156" s="69"/>
      <c r="L156" s="69"/>
      <c r="O156" s="69"/>
      <c r="R156" s="69"/>
    </row>
    <row r="157" spans="3:18" ht="16.5">
      <c r="C157" s="69"/>
      <c r="F157" s="69"/>
      <c r="I157" s="69"/>
      <c r="L157" s="69"/>
      <c r="O157" s="69"/>
      <c r="R157" s="69"/>
    </row>
    <row r="158" spans="3:18" ht="16.5">
      <c r="C158" s="69"/>
      <c r="F158" s="69"/>
      <c r="I158" s="69"/>
      <c r="L158" s="69"/>
      <c r="O158" s="69"/>
      <c r="R158" s="69"/>
    </row>
    <row r="159" spans="3:18" ht="16.5">
      <c r="C159" s="69"/>
      <c r="F159" s="69"/>
      <c r="I159" s="69"/>
      <c r="L159" s="69"/>
      <c r="O159" s="69"/>
      <c r="R159" s="69"/>
    </row>
    <row r="160" spans="3:18" ht="16.5">
      <c r="C160" s="69"/>
      <c r="F160" s="69"/>
      <c r="I160" s="69"/>
      <c r="L160" s="69"/>
      <c r="O160" s="69"/>
      <c r="R160" s="69"/>
    </row>
    <row r="161" spans="3:18" ht="16.5">
      <c r="C161" s="69"/>
      <c r="F161" s="69"/>
      <c r="I161" s="69"/>
      <c r="L161" s="69"/>
      <c r="O161" s="69"/>
      <c r="R161" s="69"/>
    </row>
    <row r="162" spans="3:18" ht="16.5">
      <c r="C162" s="69"/>
      <c r="F162" s="69"/>
      <c r="I162" s="69"/>
      <c r="L162" s="69"/>
      <c r="O162" s="69"/>
      <c r="R162" s="69"/>
    </row>
    <row r="163" spans="3:18" ht="16.5">
      <c r="C163" s="69"/>
      <c r="F163" s="69"/>
      <c r="I163" s="69"/>
      <c r="L163" s="69"/>
      <c r="O163" s="69"/>
      <c r="R163" s="69"/>
    </row>
    <row r="164" spans="3:18" ht="16.5">
      <c r="C164" s="69"/>
      <c r="F164" s="69"/>
      <c r="I164" s="69"/>
      <c r="L164" s="69"/>
      <c r="O164" s="69"/>
      <c r="R164" s="69"/>
    </row>
    <row r="165" spans="3:18" ht="16.5">
      <c r="C165" s="69"/>
      <c r="F165" s="69"/>
      <c r="I165" s="69"/>
      <c r="L165" s="69"/>
      <c r="O165" s="69"/>
      <c r="R165" s="69"/>
    </row>
    <row r="166" spans="3:18" ht="16.5">
      <c r="C166" s="69"/>
      <c r="F166" s="69"/>
      <c r="I166" s="69"/>
      <c r="L166" s="69"/>
      <c r="O166" s="69"/>
      <c r="R166" s="69"/>
    </row>
    <row r="167" spans="3:18" ht="16.5">
      <c r="C167" s="69"/>
      <c r="F167" s="69"/>
      <c r="I167" s="69"/>
      <c r="L167" s="69"/>
      <c r="O167" s="69"/>
      <c r="R167" s="69"/>
    </row>
    <row r="168" spans="3:18" ht="16.5">
      <c r="C168" s="69"/>
      <c r="F168" s="69"/>
      <c r="I168" s="69"/>
      <c r="L168" s="69"/>
      <c r="O168" s="69"/>
      <c r="R168" s="69"/>
    </row>
    <row r="169" spans="3:18" ht="16.5">
      <c r="C169" s="69"/>
      <c r="F169" s="69"/>
      <c r="I169" s="69"/>
      <c r="L169" s="69"/>
      <c r="O169" s="69"/>
      <c r="R169" s="69"/>
    </row>
    <row r="170" spans="3:18" ht="16.5">
      <c r="C170" s="69"/>
      <c r="F170" s="69"/>
      <c r="I170" s="69"/>
      <c r="L170" s="69"/>
      <c r="O170" s="69"/>
      <c r="R170" s="69"/>
    </row>
    <row r="171" spans="3:18" ht="16.5">
      <c r="C171" s="69"/>
      <c r="F171" s="69"/>
      <c r="I171" s="69"/>
      <c r="L171" s="69"/>
      <c r="O171" s="69"/>
      <c r="R171" s="69"/>
    </row>
    <row r="172" spans="3:18" ht="16.5">
      <c r="C172" s="69"/>
      <c r="F172" s="69"/>
      <c r="I172" s="69"/>
      <c r="L172" s="69"/>
      <c r="O172" s="69"/>
      <c r="R172" s="69"/>
    </row>
    <row r="173" spans="3:18" ht="16.5">
      <c r="C173" s="69"/>
      <c r="F173" s="69"/>
      <c r="I173" s="69"/>
      <c r="L173" s="69"/>
      <c r="O173" s="69"/>
      <c r="R173" s="69"/>
    </row>
    <row r="174" spans="3:18" ht="16.5">
      <c r="C174" s="69"/>
      <c r="F174" s="69"/>
      <c r="I174" s="69"/>
      <c r="L174" s="69"/>
      <c r="O174" s="69"/>
      <c r="R174" s="69"/>
    </row>
    <row r="175" spans="3:18" ht="16.5">
      <c r="C175" s="69"/>
      <c r="F175" s="69"/>
      <c r="I175" s="69"/>
      <c r="L175" s="69"/>
      <c r="O175" s="69"/>
      <c r="R175" s="69"/>
    </row>
    <row r="176" spans="3:18" ht="16.5">
      <c r="C176" s="69"/>
      <c r="F176" s="69"/>
      <c r="I176" s="69"/>
      <c r="L176" s="69"/>
      <c r="O176" s="69"/>
      <c r="R176" s="69"/>
    </row>
    <row r="177" spans="3:18" ht="16.5">
      <c r="C177" s="69"/>
      <c r="F177" s="69"/>
      <c r="I177" s="69"/>
      <c r="L177" s="69"/>
      <c r="O177" s="69"/>
      <c r="R177" s="69"/>
    </row>
    <row r="178" spans="3:18" ht="16.5">
      <c r="C178" s="69"/>
      <c r="F178" s="69"/>
      <c r="I178" s="69"/>
      <c r="L178" s="69"/>
      <c r="O178" s="69"/>
      <c r="R178" s="69"/>
    </row>
    <row r="179" spans="3:18" ht="16.5">
      <c r="C179" s="69"/>
      <c r="F179" s="69"/>
      <c r="I179" s="69"/>
      <c r="L179" s="69"/>
      <c r="O179" s="69"/>
      <c r="R179" s="69"/>
    </row>
    <row r="180" spans="3:18" ht="16.5">
      <c r="C180" s="69"/>
      <c r="F180" s="69"/>
      <c r="I180" s="69"/>
      <c r="L180" s="69"/>
      <c r="O180" s="69"/>
      <c r="R180" s="69"/>
    </row>
    <row r="181" spans="3:18" ht="16.5">
      <c r="C181" s="69"/>
      <c r="F181" s="69"/>
      <c r="I181" s="69"/>
      <c r="L181" s="69"/>
      <c r="O181" s="69"/>
      <c r="R181" s="69"/>
    </row>
    <row r="182" spans="3:18" ht="16.5">
      <c r="C182" s="69"/>
      <c r="F182" s="69"/>
      <c r="I182" s="69"/>
      <c r="L182" s="69"/>
      <c r="O182" s="69"/>
      <c r="R182" s="69"/>
    </row>
    <row r="183" spans="3:18" ht="16.5">
      <c r="C183" s="69"/>
      <c r="F183" s="69"/>
      <c r="I183" s="69"/>
      <c r="L183" s="69"/>
      <c r="O183" s="69"/>
      <c r="R183" s="69"/>
    </row>
    <row r="184" spans="3:18" ht="16.5">
      <c r="C184" s="69"/>
      <c r="F184" s="69"/>
      <c r="I184" s="69"/>
      <c r="L184" s="69"/>
      <c r="O184" s="69"/>
      <c r="R184" s="69"/>
    </row>
    <row r="185" spans="3:18" ht="16.5">
      <c r="C185" s="69"/>
      <c r="F185" s="69"/>
      <c r="I185" s="69"/>
      <c r="L185" s="69"/>
      <c r="O185" s="69"/>
      <c r="R185" s="69"/>
    </row>
    <row r="186" spans="3:18" ht="16.5">
      <c r="C186" s="69"/>
      <c r="F186" s="69"/>
      <c r="I186" s="69"/>
      <c r="L186" s="69"/>
      <c r="O186" s="69"/>
      <c r="R186" s="69"/>
    </row>
    <row r="187" spans="3:18" ht="16.5">
      <c r="C187" s="69"/>
      <c r="F187" s="69"/>
      <c r="I187" s="69"/>
      <c r="L187" s="69"/>
      <c r="O187" s="69"/>
      <c r="R187" s="69"/>
    </row>
    <row r="188" spans="3:18" ht="16.5">
      <c r="C188" s="69"/>
      <c r="F188" s="69"/>
      <c r="I188" s="69"/>
      <c r="L188" s="69"/>
      <c r="O188" s="69"/>
      <c r="R188" s="69"/>
    </row>
    <row r="189" spans="3:18" ht="16.5">
      <c r="C189" s="69"/>
      <c r="F189" s="69"/>
      <c r="I189" s="69"/>
      <c r="L189" s="69"/>
      <c r="O189" s="69"/>
      <c r="R189" s="69"/>
    </row>
    <row r="190" spans="3:18" ht="16.5">
      <c r="C190" s="69"/>
      <c r="F190" s="69"/>
      <c r="I190" s="69"/>
      <c r="L190" s="69"/>
      <c r="O190" s="69"/>
      <c r="R190" s="69"/>
    </row>
    <row r="191" spans="3:18" ht="16.5">
      <c r="C191" s="69"/>
      <c r="F191" s="69"/>
      <c r="I191" s="69"/>
      <c r="L191" s="69"/>
      <c r="O191" s="69"/>
      <c r="R191" s="69"/>
    </row>
    <row r="192" spans="3:18" ht="16.5">
      <c r="C192" s="69"/>
      <c r="F192" s="69"/>
      <c r="I192" s="69"/>
      <c r="L192" s="69"/>
      <c r="O192" s="69"/>
      <c r="R192" s="69"/>
    </row>
    <row r="193" spans="3:18" ht="16.5">
      <c r="C193" s="69"/>
      <c r="F193" s="69"/>
      <c r="I193" s="69"/>
      <c r="L193" s="69"/>
      <c r="O193" s="69"/>
      <c r="R193" s="69"/>
    </row>
    <row r="194" spans="3:18" ht="16.5">
      <c r="C194" s="69"/>
      <c r="F194" s="69"/>
      <c r="I194" s="69"/>
      <c r="L194" s="69"/>
      <c r="O194" s="69"/>
      <c r="R194" s="69"/>
    </row>
    <row r="195" spans="3:18" ht="16.5">
      <c r="C195" s="69"/>
      <c r="F195" s="69"/>
      <c r="I195" s="69"/>
      <c r="L195" s="69"/>
      <c r="O195" s="69"/>
      <c r="R195" s="69"/>
    </row>
    <row r="196" spans="3:18" ht="16.5">
      <c r="C196" s="69"/>
      <c r="F196" s="69"/>
      <c r="I196" s="69"/>
      <c r="L196" s="69"/>
      <c r="O196" s="69"/>
      <c r="R196" s="69"/>
    </row>
    <row r="197" spans="3:18" ht="16.5">
      <c r="C197" s="69"/>
      <c r="F197" s="69"/>
      <c r="I197" s="69"/>
      <c r="L197" s="69"/>
      <c r="O197" s="69"/>
      <c r="R197" s="69"/>
    </row>
    <row r="198" spans="3:18" ht="16.5">
      <c r="C198" s="69"/>
      <c r="F198" s="69"/>
      <c r="I198" s="69"/>
      <c r="L198" s="69"/>
      <c r="O198" s="69"/>
      <c r="R198" s="69"/>
    </row>
    <row r="199" spans="3:18" ht="16.5">
      <c r="C199" s="69"/>
      <c r="F199" s="69"/>
      <c r="I199" s="69"/>
      <c r="L199" s="69"/>
      <c r="O199" s="69"/>
      <c r="R199" s="69"/>
    </row>
    <row r="200" spans="3:18" ht="16.5">
      <c r="C200" s="69"/>
      <c r="F200" s="69"/>
      <c r="I200" s="69"/>
      <c r="L200" s="69"/>
      <c r="O200" s="69"/>
      <c r="R200" s="69"/>
    </row>
    <row r="201" spans="3:18" ht="16.5">
      <c r="C201" s="69"/>
      <c r="F201" s="69"/>
      <c r="I201" s="69"/>
      <c r="L201" s="69"/>
      <c r="O201" s="69"/>
      <c r="R201" s="69"/>
    </row>
    <row r="202" spans="3:18" ht="16.5">
      <c r="C202" s="69"/>
      <c r="F202" s="69"/>
      <c r="I202" s="69"/>
      <c r="L202" s="69"/>
      <c r="O202" s="69"/>
      <c r="R202" s="69"/>
    </row>
    <row r="203" spans="3:18" ht="16.5">
      <c r="C203" s="69"/>
      <c r="F203" s="69"/>
      <c r="I203" s="69"/>
      <c r="L203" s="69"/>
      <c r="O203" s="69"/>
      <c r="R203" s="69"/>
    </row>
    <row r="204" spans="3:18" ht="16.5">
      <c r="C204" s="69"/>
      <c r="F204" s="69"/>
      <c r="I204" s="69"/>
      <c r="L204" s="69"/>
      <c r="O204" s="69"/>
      <c r="R204" s="69"/>
    </row>
    <row r="205" spans="3:18" ht="16.5">
      <c r="C205" s="69"/>
      <c r="F205" s="69"/>
      <c r="I205" s="69"/>
      <c r="L205" s="69"/>
      <c r="O205" s="69"/>
      <c r="R205" s="69"/>
    </row>
    <row r="206" spans="3:18" ht="16.5">
      <c r="C206" s="69"/>
      <c r="F206" s="69"/>
      <c r="I206" s="69"/>
      <c r="L206" s="69"/>
      <c r="O206" s="69"/>
      <c r="R206" s="69"/>
    </row>
    <row r="207" spans="3:18" ht="16.5">
      <c r="C207" s="69"/>
      <c r="F207" s="69"/>
      <c r="I207" s="69"/>
      <c r="L207" s="69"/>
      <c r="O207" s="69"/>
      <c r="R207" s="69"/>
    </row>
    <row r="208" spans="3:18" ht="16.5">
      <c r="C208" s="69"/>
      <c r="F208" s="69"/>
      <c r="I208" s="69"/>
      <c r="L208" s="69"/>
      <c r="O208" s="69"/>
      <c r="R208" s="69"/>
    </row>
    <row r="209" spans="3:18" ht="16.5">
      <c r="C209" s="69"/>
      <c r="F209" s="69"/>
      <c r="I209" s="69"/>
      <c r="L209" s="69"/>
      <c r="O209" s="69"/>
      <c r="R209" s="69"/>
    </row>
    <row r="210" spans="3:18" ht="16.5">
      <c r="C210" s="69"/>
      <c r="F210" s="69"/>
      <c r="I210" s="69"/>
      <c r="L210" s="69"/>
      <c r="O210" s="69"/>
      <c r="R210" s="69"/>
    </row>
    <row r="211" spans="3:18" ht="16.5">
      <c r="C211" s="69"/>
      <c r="F211" s="69"/>
      <c r="I211" s="69"/>
      <c r="L211" s="69"/>
      <c r="O211" s="69"/>
      <c r="R211" s="69"/>
    </row>
    <row r="212" spans="3:18" ht="16.5">
      <c r="C212" s="69"/>
      <c r="F212" s="69"/>
      <c r="I212" s="69"/>
      <c r="L212" s="69"/>
      <c r="O212" s="69"/>
      <c r="R212" s="69"/>
    </row>
    <row r="213" spans="3:18" ht="16.5">
      <c r="C213" s="69"/>
      <c r="F213" s="69"/>
      <c r="I213" s="69"/>
      <c r="L213" s="69"/>
      <c r="O213" s="69"/>
      <c r="R213" s="69"/>
    </row>
    <row r="214" spans="3:18" ht="16.5">
      <c r="C214" s="69"/>
      <c r="F214" s="69"/>
      <c r="I214" s="69"/>
      <c r="L214" s="69"/>
      <c r="O214" s="69"/>
      <c r="R214" s="69"/>
    </row>
    <row r="215" spans="3:18" ht="16.5">
      <c r="C215" s="69"/>
      <c r="F215" s="69"/>
      <c r="I215" s="69"/>
      <c r="L215" s="69"/>
      <c r="O215" s="69"/>
      <c r="R215" s="69"/>
    </row>
    <row r="216" spans="3:18" ht="16.5">
      <c r="C216" s="69"/>
      <c r="F216" s="69"/>
      <c r="I216" s="69"/>
      <c r="L216" s="69"/>
      <c r="O216" s="69"/>
      <c r="R216" s="69"/>
    </row>
    <row r="217" spans="3:18" ht="16.5">
      <c r="C217" s="69"/>
      <c r="F217" s="69"/>
      <c r="I217" s="69"/>
      <c r="L217" s="69"/>
      <c r="O217" s="69"/>
      <c r="R217" s="69"/>
    </row>
    <row r="218" spans="3:18" ht="16.5">
      <c r="C218" s="69"/>
      <c r="F218" s="69"/>
      <c r="I218" s="69"/>
      <c r="L218" s="69"/>
      <c r="O218" s="69"/>
      <c r="R218" s="69"/>
    </row>
    <row r="219" spans="3:18" ht="16.5">
      <c r="C219" s="69"/>
      <c r="F219" s="69"/>
      <c r="I219" s="69"/>
      <c r="L219" s="69"/>
      <c r="O219" s="69"/>
      <c r="R219" s="69"/>
    </row>
    <row r="220" spans="3:18" ht="16.5">
      <c r="C220" s="69"/>
      <c r="F220" s="69"/>
      <c r="I220" s="69"/>
      <c r="L220" s="69"/>
      <c r="O220" s="69"/>
      <c r="R220" s="69"/>
    </row>
    <row r="221" spans="3:18" ht="16.5">
      <c r="C221" s="69"/>
      <c r="F221" s="69"/>
      <c r="I221" s="69"/>
      <c r="L221" s="69"/>
      <c r="O221" s="69"/>
      <c r="R221" s="69"/>
    </row>
    <row r="222" spans="3:18" ht="16.5">
      <c r="C222" s="69"/>
      <c r="F222" s="69"/>
      <c r="I222" s="69"/>
      <c r="L222" s="69"/>
      <c r="O222" s="69"/>
      <c r="R222" s="69"/>
    </row>
    <row r="223" spans="3:18" ht="16.5">
      <c r="C223" s="69"/>
      <c r="F223" s="69"/>
      <c r="I223" s="69"/>
      <c r="L223" s="69"/>
      <c r="O223" s="69"/>
      <c r="R223" s="69"/>
    </row>
    <row r="224" spans="3:18" ht="16.5">
      <c r="C224" s="69"/>
      <c r="F224" s="69"/>
      <c r="I224" s="69"/>
      <c r="L224" s="69"/>
      <c r="O224" s="69"/>
      <c r="R224" s="69"/>
    </row>
    <row r="225" spans="3:18" ht="16.5">
      <c r="C225" s="69"/>
      <c r="F225" s="69"/>
      <c r="I225" s="69"/>
      <c r="L225" s="69"/>
      <c r="O225" s="69"/>
      <c r="R225" s="69"/>
    </row>
    <row r="226" spans="3:18" ht="16.5">
      <c r="C226" s="69"/>
      <c r="F226" s="69"/>
      <c r="I226" s="69"/>
      <c r="L226" s="69"/>
      <c r="O226" s="69"/>
      <c r="R226" s="69"/>
    </row>
    <row r="227" spans="3:18" ht="16.5">
      <c r="C227" s="69"/>
      <c r="F227" s="69"/>
      <c r="I227" s="69"/>
      <c r="L227" s="69"/>
      <c r="O227" s="69"/>
      <c r="R227" s="69"/>
    </row>
    <row r="228" spans="3:18" ht="16.5">
      <c r="C228" s="69"/>
      <c r="F228" s="69"/>
      <c r="I228" s="69"/>
      <c r="L228" s="69"/>
      <c r="O228" s="69"/>
      <c r="R228" s="69"/>
    </row>
    <row r="229" spans="3:18" ht="16.5">
      <c r="C229" s="69"/>
      <c r="F229" s="69"/>
      <c r="I229" s="69"/>
      <c r="L229" s="69"/>
      <c r="O229" s="69"/>
      <c r="R229" s="69"/>
    </row>
    <row r="230" spans="3:18" ht="16.5">
      <c r="C230" s="69"/>
      <c r="F230" s="69"/>
      <c r="I230" s="69"/>
      <c r="L230" s="69"/>
      <c r="O230" s="69"/>
      <c r="R230" s="69"/>
    </row>
    <row r="231" spans="3:18" ht="16.5">
      <c r="C231" s="69"/>
      <c r="F231" s="69"/>
      <c r="I231" s="69"/>
      <c r="L231" s="69"/>
      <c r="O231" s="69"/>
      <c r="R231" s="69"/>
    </row>
    <row r="232" spans="3:18" ht="16.5">
      <c r="C232" s="69"/>
      <c r="F232" s="69"/>
      <c r="I232" s="69"/>
      <c r="L232" s="69"/>
      <c r="O232" s="69"/>
      <c r="R232" s="69"/>
    </row>
    <row r="233" spans="3:18" ht="16.5">
      <c r="C233" s="69"/>
      <c r="F233" s="69"/>
      <c r="I233" s="69"/>
      <c r="L233" s="69"/>
      <c r="O233" s="69"/>
      <c r="R233" s="69"/>
    </row>
    <row r="234" spans="3:18" ht="16.5">
      <c r="C234" s="69"/>
      <c r="F234" s="69"/>
      <c r="I234" s="69"/>
      <c r="L234" s="69"/>
      <c r="O234" s="69"/>
      <c r="R234" s="69"/>
    </row>
    <row r="235" spans="3:18" ht="16.5">
      <c r="C235" s="69"/>
      <c r="F235" s="69"/>
      <c r="I235" s="69"/>
      <c r="L235" s="69"/>
      <c r="O235" s="69"/>
      <c r="R235" s="69"/>
    </row>
    <row r="236" spans="3:18" ht="16.5">
      <c r="C236" s="69"/>
      <c r="F236" s="69"/>
      <c r="I236" s="69"/>
      <c r="L236" s="69"/>
      <c r="O236" s="69"/>
      <c r="R236" s="69"/>
    </row>
    <row r="237" spans="3:18" ht="16.5">
      <c r="C237" s="69"/>
      <c r="F237" s="69"/>
      <c r="I237" s="69"/>
      <c r="L237" s="69"/>
      <c r="O237" s="69"/>
      <c r="R237" s="69"/>
    </row>
    <row r="238" spans="3:18" ht="16.5">
      <c r="C238" s="69"/>
      <c r="F238" s="69"/>
      <c r="I238" s="69"/>
      <c r="L238" s="69"/>
      <c r="O238" s="69"/>
      <c r="R238" s="69"/>
    </row>
    <row r="239" spans="3:18" ht="16.5">
      <c r="C239" s="69"/>
      <c r="F239" s="69"/>
      <c r="I239" s="69"/>
      <c r="L239" s="69"/>
      <c r="O239" s="69"/>
      <c r="R239" s="69"/>
    </row>
    <row r="240" spans="3:18" ht="16.5">
      <c r="C240" s="69"/>
      <c r="F240" s="69"/>
      <c r="I240" s="69"/>
      <c r="L240" s="69"/>
      <c r="O240" s="69"/>
      <c r="R240" s="69"/>
    </row>
    <row r="241" spans="3:18" ht="16.5">
      <c r="C241" s="69"/>
      <c r="F241" s="69"/>
      <c r="I241" s="69"/>
      <c r="L241" s="69"/>
      <c r="O241" s="69"/>
      <c r="R241" s="69"/>
    </row>
    <row r="242" spans="3:18" ht="16.5">
      <c r="C242" s="69"/>
      <c r="F242" s="69"/>
      <c r="I242" s="69"/>
      <c r="L242" s="69"/>
      <c r="O242" s="69"/>
      <c r="R242" s="69"/>
    </row>
    <row r="243" spans="3:18" ht="16.5">
      <c r="C243" s="69"/>
      <c r="F243" s="69"/>
      <c r="I243" s="69"/>
      <c r="L243" s="69"/>
      <c r="O243" s="69"/>
      <c r="R243" s="69"/>
    </row>
    <row r="244" spans="3:18" ht="16.5">
      <c r="C244" s="69"/>
      <c r="F244" s="69"/>
      <c r="I244" s="69"/>
      <c r="L244" s="69"/>
      <c r="O244" s="69"/>
      <c r="R244" s="69"/>
    </row>
    <row r="245" spans="3:18" ht="16.5">
      <c r="C245" s="69"/>
      <c r="F245" s="69"/>
      <c r="I245" s="69"/>
      <c r="L245" s="69"/>
      <c r="O245" s="69"/>
      <c r="R245" s="69"/>
    </row>
    <row r="246" spans="3:18" ht="16.5">
      <c r="C246" s="69"/>
      <c r="F246" s="69"/>
      <c r="I246" s="69"/>
      <c r="L246" s="69"/>
      <c r="O246" s="69"/>
      <c r="R246" s="69"/>
    </row>
    <row r="247" spans="3:18" ht="16.5">
      <c r="C247" s="69"/>
      <c r="F247" s="69"/>
      <c r="I247" s="69"/>
      <c r="L247" s="69"/>
      <c r="O247" s="69"/>
      <c r="R247" s="69"/>
    </row>
    <row r="248" spans="3:18" ht="16.5">
      <c r="C248" s="69"/>
      <c r="F248" s="69"/>
      <c r="I248" s="69"/>
      <c r="L248" s="69"/>
      <c r="O248" s="69"/>
      <c r="R248" s="69"/>
    </row>
    <row r="249" spans="3:18" ht="16.5">
      <c r="C249" s="69"/>
      <c r="F249" s="69"/>
      <c r="I249" s="69"/>
      <c r="L249" s="69"/>
      <c r="O249" s="69"/>
      <c r="R249" s="69"/>
    </row>
    <row r="250" spans="3:18" ht="16.5">
      <c r="C250" s="69"/>
      <c r="F250" s="69"/>
      <c r="I250" s="69"/>
      <c r="L250" s="69"/>
      <c r="O250" s="69"/>
      <c r="R250" s="69"/>
    </row>
    <row r="251" spans="3:18" ht="16.5">
      <c r="C251" s="69"/>
      <c r="F251" s="69"/>
      <c r="I251" s="69"/>
      <c r="L251" s="69"/>
      <c r="O251" s="69"/>
      <c r="R251" s="69"/>
    </row>
    <row r="252" spans="3:18" ht="16.5">
      <c r="C252" s="69"/>
      <c r="F252" s="69"/>
      <c r="I252" s="69"/>
      <c r="L252" s="69"/>
      <c r="O252" s="69"/>
      <c r="R252" s="69"/>
    </row>
    <row r="253" spans="3:18" ht="16.5">
      <c r="C253" s="69"/>
      <c r="F253" s="69"/>
      <c r="I253" s="69"/>
      <c r="L253" s="69"/>
      <c r="O253" s="69"/>
      <c r="R253" s="69"/>
    </row>
    <row r="254" spans="3:18" ht="16.5">
      <c r="C254" s="69"/>
      <c r="F254" s="69"/>
      <c r="I254" s="69"/>
      <c r="L254" s="69"/>
      <c r="O254" s="69"/>
      <c r="R254" s="69"/>
    </row>
    <row r="255" spans="3:18" ht="16.5">
      <c r="C255" s="69"/>
      <c r="F255" s="69"/>
      <c r="I255" s="69"/>
      <c r="L255" s="69"/>
      <c r="O255" s="69"/>
      <c r="R255" s="69"/>
    </row>
    <row r="256" spans="3:18" ht="16.5">
      <c r="C256" s="69"/>
      <c r="F256" s="69"/>
      <c r="I256" s="69"/>
      <c r="L256" s="69"/>
      <c r="O256" s="69"/>
      <c r="R256" s="69"/>
    </row>
    <row r="257" spans="3:18" ht="16.5">
      <c r="C257" s="69"/>
      <c r="F257" s="69"/>
      <c r="I257" s="69"/>
      <c r="L257" s="69"/>
      <c r="O257" s="69"/>
      <c r="R257" s="69"/>
    </row>
    <row r="258" spans="3:18" ht="16.5">
      <c r="C258" s="69"/>
      <c r="F258" s="69"/>
      <c r="I258" s="69"/>
      <c r="L258" s="69"/>
      <c r="O258" s="69"/>
      <c r="R258" s="69"/>
    </row>
    <row r="259" spans="3:18" ht="16.5">
      <c r="C259" s="69"/>
      <c r="F259" s="69"/>
      <c r="I259" s="69"/>
      <c r="L259" s="69"/>
      <c r="O259" s="69"/>
      <c r="R259" s="69"/>
    </row>
    <row r="260" spans="3:18" ht="16.5">
      <c r="C260" s="69"/>
      <c r="F260" s="69"/>
      <c r="I260" s="69"/>
      <c r="L260" s="69"/>
      <c r="O260" s="69"/>
      <c r="R260" s="69"/>
    </row>
    <row r="261" spans="3:18" ht="16.5">
      <c r="C261" s="69"/>
      <c r="F261" s="69"/>
      <c r="I261" s="69"/>
      <c r="L261" s="69"/>
      <c r="O261" s="69"/>
      <c r="R261" s="69"/>
    </row>
    <row r="262" spans="3:18" ht="16.5">
      <c r="C262" s="69"/>
      <c r="F262" s="69"/>
      <c r="I262" s="69"/>
      <c r="L262" s="69"/>
      <c r="O262" s="69"/>
      <c r="R262" s="69"/>
    </row>
    <row r="263" spans="3:18" ht="16.5">
      <c r="C263" s="69"/>
      <c r="F263" s="69"/>
      <c r="I263" s="69"/>
      <c r="L263" s="69"/>
      <c r="O263" s="69"/>
      <c r="R263" s="69"/>
    </row>
    <row r="264" spans="3:18" ht="16.5">
      <c r="C264" s="69"/>
      <c r="F264" s="69"/>
      <c r="I264" s="69"/>
      <c r="L264" s="69"/>
      <c r="O264" s="69"/>
      <c r="R264" s="69"/>
    </row>
    <row r="265" spans="3:18" ht="16.5">
      <c r="C265" s="69"/>
      <c r="F265" s="69"/>
      <c r="I265" s="69"/>
      <c r="L265" s="69"/>
      <c r="O265" s="69"/>
      <c r="R265" s="69"/>
    </row>
    <row r="266" spans="3:18" ht="16.5">
      <c r="C266" s="69"/>
      <c r="F266" s="69"/>
      <c r="I266" s="69"/>
      <c r="L266" s="69"/>
      <c r="O266" s="69"/>
      <c r="R266" s="69"/>
    </row>
    <row r="267" spans="3:18" ht="16.5">
      <c r="C267" s="69"/>
      <c r="F267" s="69"/>
      <c r="I267" s="69"/>
      <c r="L267" s="69"/>
      <c r="O267" s="69"/>
      <c r="R267" s="69"/>
    </row>
    <row r="268" spans="3:18" ht="16.5">
      <c r="C268" s="69"/>
      <c r="F268" s="69"/>
      <c r="I268" s="69"/>
      <c r="L268" s="69"/>
      <c r="O268" s="69"/>
      <c r="R268" s="69"/>
    </row>
    <row r="269" spans="3:18" ht="16.5">
      <c r="C269" s="69"/>
      <c r="F269" s="69"/>
      <c r="I269" s="69"/>
      <c r="L269" s="69"/>
      <c r="O269" s="69"/>
      <c r="R269" s="69"/>
    </row>
    <row r="270" spans="3:18" ht="16.5">
      <c r="C270" s="69"/>
      <c r="F270" s="69"/>
      <c r="I270" s="69"/>
      <c r="L270" s="69"/>
      <c r="O270" s="69"/>
      <c r="R270" s="69"/>
    </row>
    <row r="271" spans="3:18" ht="16.5">
      <c r="C271" s="69"/>
      <c r="F271" s="69"/>
      <c r="I271" s="69"/>
      <c r="L271" s="69"/>
      <c r="O271" s="69"/>
      <c r="R271" s="69"/>
    </row>
    <row r="272" spans="3:18" ht="16.5">
      <c r="C272" s="69"/>
      <c r="F272" s="69"/>
      <c r="I272" s="69"/>
      <c r="L272" s="69"/>
      <c r="O272" s="69"/>
      <c r="R272" s="69"/>
    </row>
    <row r="273" spans="3:18" ht="16.5">
      <c r="C273" s="69"/>
      <c r="F273" s="69"/>
      <c r="I273" s="69"/>
      <c r="L273" s="69"/>
      <c r="O273" s="69"/>
      <c r="R273" s="69"/>
    </row>
    <row r="274" spans="3:18" ht="16.5">
      <c r="C274" s="69"/>
      <c r="F274" s="69"/>
      <c r="I274" s="69"/>
      <c r="L274" s="69"/>
      <c r="O274" s="69"/>
      <c r="R274" s="69"/>
    </row>
    <row r="275" spans="3:18" ht="16.5">
      <c r="C275" s="69"/>
      <c r="F275" s="69"/>
      <c r="I275" s="69"/>
      <c r="L275" s="69"/>
      <c r="O275" s="69"/>
      <c r="R275" s="69"/>
    </row>
    <row r="276" spans="3:18" ht="16.5">
      <c r="C276" s="69"/>
      <c r="F276" s="69"/>
      <c r="I276" s="69"/>
      <c r="L276" s="69"/>
      <c r="O276" s="69"/>
      <c r="R276" s="69"/>
    </row>
    <row r="277" spans="3:18" ht="16.5">
      <c r="C277" s="69"/>
      <c r="F277" s="69"/>
      <c r="I277" s="69"/>
      <c r="L277" s="69"/>
      <c r="O277" s="69"/>
      <c r="R277" s="69"/>
    </row>
    <row r="278" spans="3:18" ht="16.5">
      <c r="C278" s="69"/>
      <c r="F278" s="69"/>
      <c r="I278" s="69"/>
      <c r="L278" s="69"/>
      <c r="O278" s="69"/>
      <c r="R278" s="69"/>
    </row>
    <row r="279" spans="3:18" ht="16.5">
      <c r="C279" s="69"/>
      <c r="F279" s="69"/>
      <c r="I279" s="69"/>
      <c r="L279" s="69"/>
      <c r="O279" s="69"/>
      <c r="R279" s="69"/>
    </row>
    <row r="280" spans="3:18" ht="16.5">
      <c r="C280" s="69"/>
      <c r="F280" s="69"/>
      <c r="I280" s="69"/>
      <c r="L280" s="69"/>
      <c r="O280" s="69"/>
      <c r="R280" s="69"/>
    </row>
    <row r="281" spans="3:18" ht="16.5">
      <c r="C281" s="69"/>
      <c r="F281" s="69"/>
      <c r="I281" s="69"/>
      <c r="L281" s="69"/>
      <c r="O281" s="69"/>
      <c r="R281" s="69"/>
    </row>
    <row r="282" spans="3:18" ht="16.5">
      <c r="C282" s="69"/>
      <c r="F282" s="69"/>
      <c r="I282" s="69"/>
      <c r="L282" s="69"/>
      <c r="O282" s="69"/>
      <c r="R282" s="69"/>
    </row>
    <row r="283" spans="3:18" ht="16.5">
      <c r="C283" s="69"/>
      <c r="F283" s="69"/>
      <c r="I283" s="69"/>
      <c r="L283" s="69"/>
      <c r="O283" s="69"/>
      <c r="R283" s="69"/>
    </row>
    <row r="284" spans="3:18" ht="16.5">
      <c r="C284" s="69"/>
      <c r="F284" s="69"/>
      <c r="I284" s="69"/>
      <c r="L284" s="69"/>
      <c r="O284" s="69"/>
      <c r="R284" s="69"/>
    </row>
    <row r="285" spans="3:18" ht="16.5">
      <c r="C285" s="69"/>
      <c r="F285" s="69"/>
      <c r="I285" s="69"/>
      <c r="L285" s="69"/>
      <c r="O285" s="69"/>
      <c r="R285" s="69"/>
    </row>
    <row r="286" spans="3:18" ht="16.5">
      <c r="C286" s="69"/>
      <c r="F286" s="69"/>
      <c r="I286" s="69"/>
      <c r="L286" s="69"/>
      <c r="O286" s="69"/>
      <c r="R286" s="69"/>
    </row>
    <row r="287" spans="3:18" ht="16.5">
      <c r="C287" s="69"/>
      <c r="F287" s="69"/>
      <c r="I287" s="69"/>
      <c r="L287" s="69"/>
      <c r="O287" s="69"/>
      <c r="R287" s="69"/>
    </row>
    <row r="288" spans="3:18" ht="16.5">
      <c r="C288" s="69"/>
      <c r="F288" s="69"/>
      <c r="I288" s="69"/>
      <c r="L288" s="69"/>
      <c r="O288" s="69"/>
      <c r="R288" s="69"/>
    </row>
    <row r="289" spans="3:18" ht="16.5">
      <c r="C289" s="69"/>
      <c r="F289" s="69"/>
      <c r="I289" s="69"/>
      <c r="L289" s="69"/>
      <c r="O289" s="69"/>
      <c r="R289" s="69"/>
    </row>
    <row r="290" spans="3:18" ht="16.5">
      <c r="C290" s="69"/>
      <c r="F290" s="69"/>
      <c r="I290" s="69"/>
      <c r="L290" s="69"/>
      <c r="O290" s="69"/>
      <c r="R290" s="69"/>
    </row>
    <row r="291" spans="3:18" ht="16.5">
      <c r="C291" s="69"/>
      <c r="F291" s="69"/>
      <c r="I291" s="69"/>
      <c r="L291" s="69"/>
      <c r="O291" s="69"/>
      <c r="R291" s="69"/>
    </row>
    <row r="292" spans="3:18" ht="16.5">
      <c r="C292" s="69"/>
      <c r="F292" s="69"/>
      <c r="I292" s="69"/>
      <c r="L292" s="69"/>
      <c r="O292" s="69"/>
      <c r="R292" s="69"/>
    </row>
    <row r="293" spans="3:18" ht="16.5">
      <c r="C293" s="69"/>
      <c r="F293" s="69"/>
      <c r="I293" s="69"/>
      <c r="L293" s="69"/>
      <c r="O293" s="69"/>
      <c r="R293" s="69"/>
    </row>
    <row r="294" spans="3:18" ht="16.5">
      <c r="C294" s="69"/>
      <c r="F294" s="69"/>
      <c r="I294" s="69"/>
      <c r="L294" s="69"/>
      <c r="O294" s="69"/>
      <c r="R294" s="69"/>
    </row>
    <row r="295" spans="3:18" ht="16.5">
      <c r="C295" s="69"/>
      <c r="F295" s="69"/>
      <c r="I295" s="69"/>
      <c r="L295" s="69"/>
      <c r="O295" s="69"/>
      <c r="R295" s="69"/>
    </row>
    <row r="296" spans="3:18" ht="16.5">
      <c r="C296" s="69"/>
      <c r="F296" s="69"/>
      <c r="I296" s="69"/>
      <c r="L296" s="69"/>
      <c r="O296" s="69"/>
      <c r="R296" s="69"/>
    </row>
    <row r="297" spans="3:18" ht="16.5">
      <c r="C297" s="69"/>
      <c r="F297" s="69"/>
      <c r="I297" s="69"/>
      <c r="L297" s="69"/>
      <c r="O297" s="69"/>
      <c r="R297" s="69"/>
    </row>
    <row r="298" spans="3:18" ht="16.5">
      <c r="C298" s="69"/>
      <c r="F298" s="69"/>
      <c r="I298" s="69"/>
      <c r="L298" s="69"/>
      <c r="O298" s="69"/>
      <c r="R298" s="69"/>
    </row>
    <row r="299" spans="3:18" ht="16.5">
      <c r="C299" s="69"/>
      <c r="F299" s="69"/>
      <c r="I299" s="69"/>
      <c r="L299" s="69"/>
      <c r="O299" s="69"/>
      <c r="R299" s="69"/>
    </row>
    <row r="300" spans="3:18" ht="16.5">
      <c r="C300" s="69"/>
      <c r="F300" s="69"/>
      <c r="I300" s="69"/>
      <c r="L300" s="69"/>
      <c r="O300" s="69"/>
      <c r="R300" s="69"/>
    </row>
    <row r="301" spans="3:18" ht="16.5">
      <c r="C301" s="69"/>
      <c r="F301" s="69"/>
      <c r="I301" s="69"/>
      <c r="L301" s="69"/>
      <c r="O301" s="69"/>
      <c r="R301" s="69"/>
    </row>
    <row r="302" spans="3:18" ht="16.5">
      <c r="C302" s="69"/>
      <c r="F302" s="69"/>
      <c r="I302" s="69"/>
      <c r="L302" s="69"/>
      <c r="O302" s="69"/>
      <c r="R302" s="69"/>
    </row>
    <row r="303" spans="3:18" ht="16.5">
      <c r="C303" s="69"/>
      <c r="F303" s="69"/>
      <c r="I303" s="69"/>
      <c r="L303" s="69"/>
      <c r="O303" s="69"/>
      <c r="R303" s="69"/>
    </row>
    <row r="304" spans="3:18" ht="16.5">
      <c r="C304" s="69"/>
      <c r="F304" s="69"/>
      <c r="I304" s="69"/>
      <c r="L304" s="69"/>
      <c r="O304" s="69"/>
      <c r="R304" s="69"/>
    </row>
    <row r="305" spans="3:18" ht="16.5">
      <c r="C305" s="69"/>
      <c r="F305" s="69"/>
      <c r="I305" s="69"/>
      <c r="L305" s="69"/>
      <c r="O305" s="69"/>
      <c r="R305" s="69"/>
    </row>
    <row r="306" spans="3:18" ht="16.5">
      <c r="C306" s="69"/>
      <c r="F306" s="69"/>
      <c r="I306" s="69"/>
      <c r="L306" s="69"/>
      <c r="O306" s="69"/>
      <c r="R306" s="69"/>
    </row>
    <row r="307" spans="3:18" ht="16.5">
      <c r="C307" s="69"/>
      <c r="F307" s="69"/>
      <c r="I307" s="69"/>
      <c r="L307" s="69"/>
      <c r="O307" s="69"/>
      <c r="R307" s="69"/>
    </row>
    <row r="308" spans="3:18" ht="16.5">
      <c r="C308" s="69"/>
      <c r="F308" s="69"/>
      <c r="I308" s="69"/>
      <c r="L308" s="69"/>
      <c r="O308" s="69"/>
      <c r="R308" s="69"/>
    </row>
    <row r="309" spans="3:18" ht="16.5">
      <c r="C309" s="69"/>
      <c r="F309" s="69"/>
      <c r="I309" s="69"/>
      <c r="L309" s="69"/>
      <c r="O309" s="69"/>
      <c r="R309" s="69"/>
    </row>
    <row r="310" spans="3:18" ht="16.5">
      <c r="C310" s="69"/>
      <c r="F310" s="69"/>
      <c r="I310" s="69"/>
      <c r="L310" s="69"/>
      <c r="O310" s="69"/>
      <c r="R310" s="69"/>
    </row>
    <row r="311" spans="3:18" ht="16.5">
      <c r="C311" s="69"/>
      <c r="F311" s="69"/>
      <c r="I311" s="69"/>
      <c r="L311" s="69"/>
      <c r="O311" s="69"/>
      <c r="R311" s="69"/>
    </row>
    <row r="312" spans="3:18" ht="16.5">
      <c r="C312" s="69"/>
      <c r="F312" s="69"/>
      <c r="I312" s="69"/>
      <c r="L312" s="69"/>
      <c r="O312" s="69"/>
      <c r="R312" s="69"/>
    </row>
    <row r="313" spans="3:18" ht="16.5">
      <c r="C313" s="69"/>
      <c r="F313" s="69"/>
      <c r="I313" s="69"/>
      <c r="L313" s="69"/>
      <c r="O313" s="69"/>
      <c r="R313" s="69"/>
    </row>
    <row r="314" spans="3:18" ht="16.5">
      <c r="C314" s="69"/>
      <c r="F314" s="69"/>
      <c r="I314" s="69"/>
      <c r="L314" s="69"/>
      <c r="O314" s="69"/>
      <c r="R314" s="69"/>
    </row>
    <row r="315" spans="3:18" ht="16.5">
      <c r="C315" s="69"/>
      <c r="F315" s="69"/>
      <c r="I315" s="69"/>
      <c r="L315" s="69"/>
      <c r="O315" s="69"/>
      <c r="R315" s="69"/>
    </row>
    <row r="316" spans="3:18" ht="16.5">
      <c r="C316" s="69"/>
      <c r="F316" s="69"/>
      <c r="I316" s="69"/>
      <c r="L316" s="69"/>
      <c r="O316" s="69"/>
      <c r="R316" s="69"/>
    </row>
    <row r="317" spans="3:18" ht="16.5">
      <c r="C317" s="69"/>
      <c r="F317" s="69"/>
      <c r="I317" s="69"/>
      <c r="L317" s="69"/>
      <c r="O317" s="69"/>
      <c r="R317" s="69"/>
    </row>
    <row r="318" spans="3:18" ht="16.5">
      <c r="C318" s="69"/>
      <c r="F318" s="69"/>
      <c r="I318" s="69"/>
      <c r="L318" s="69"/>
      <c r="O318" s="69"/>
      <c r="R318" s="69"/>
    </row>
    <row r="319" spans="3:18" ht="16.5">
      <c r="C319" s="69"/>
      <c r="F319" s="69"/>
      <c r="I319" s="69"/>
      <c r="L319" s="69"/>
      <c r="O319" s="69"/>
      <c r="R319" s="69"/>
    </row>
    <row r="320" spans="3:18" ht="16.5">
      <c r="C320" s="69"/>
      <c r="F320" s="69"/>
      <c r="I320" s="69"/>
      <c r="L320" s="69"/>
      <c r="O320" s="69"/>
      <c r="R320" s="69"/>
    </row>
    <row r="321" spans="3:18" ht="16.5">
      <c r="C321" s="69"/>
      <c r="F321" s="69"/>
      <c r="I321" s="69"/>
      <c r="L321" s="69"/>
      <c r="O321" s="69"/>
      <c r="R321" s="69"/>
    </row>
    <row r="322" spans="3:18" ht="16.5">
      <c r="C322" s="69"/>
      <c r="F322" s="69"/>
      <c r="I322" s="69"/>
      <c r="L322" s="69"/>
      <c r="O322" s="69"/>
      <c r="R322" s="69"/>
    </row>
    <row r="323" spans="3:18" ht="16.5">
      <c r="C323" s="69"/>
      <c r="F323" s="69"/>
      <c r="I323" s="69"/>
      <c r="L323" s="69"/>
      <c r="O323" s="69"/>
      <c r="R323" s="69"/>
    </row>
    <row r="324" spans="3:18" ht="16.5">
      <c r="C324" s="69"/>
      <c r="F324" s="69"/>
      <c r="I324" s="69"/>
      <c r="L324" s="69"/>
      <c r="O324" s="69"/>
      <c r="R324" s="69"/>
    </row>
    <row r="325" spans="3:18" ht="16.5">
      <c r="C325" s="69"/>
      <c r="F325" s="69"/>
      <c r="I325" s="69"/>
      <c r="L325" s="69"/>
      <c r="O325" s="69"/>
      <c r="R325" s="69"/>
    </row>
    <row r="326" spans="3:18" ht="16.5">
      <c r="C326" s="69"/>
      <c r="F326" s="69"/>
      <c r="I326" s="69"/>
      <c r="L326" s="69"/>
      <c r="O326" s="69"/>
      <c r="R326" s="69"/>
    </row>
    <row r="327" spans="3:18" ht="16.5">
      <c r="C327" s="69"/>
      <c r="F327" s="69"/>
      <c r="I327" s="69"/>
      <c r="L327" s="69"/>
      <c r="O327" s="69"/>
      <c r="R327" s="69"/>
    </row>
    <row r="328" spans="3:18" ht="16.5">
      <c r="C328" s="69"/>
      <c r="F328" s="69"/>
      <c r="I328" s="69"/>
      <c r="L328" s="69"/>
      <c r="O328" s="69"/>
      <c r="R328" s="69"/>
    </row>
    <row r="329" spans="3:18" ht="16.5">
      <c r="C329" s="69"/>
      <c r="F329" s="69"/>
      <c r="I329" s="69"/>
      <c r="L329" s="69"/>
      <c r="O329" s="69"/>
      <c r="R329" s="69"/>
    </row>
    <row r="330" spans="3:18" ht="16.5">
      <c r="C330" s="69"/>
      <c r="F330" s="69"/>
      <c r="I330" s="69"/>
      <c r="L330" s="69"/>
      <c r="O330" s="69"/>
      <c r="R330" s="69"/>
    </row>
    <row r="331" spans="3:18" ht="16.5">
      <c r="C331" s="69"/>
      <c r="F331" s="69"/>
      <c r="I331" s="69"/>
      <c r="L331" s="69"/>
      <c r="O331" s="69"/>
      <c r="R331" s="69"/>
    </row>
    <row r="332" spans="3:18" ht="16.5">
      <c r="C332" s="69"/>
      <c r="F332" s="69"/>
      <c r="I332" s="69"/>
      <c r="L332" s="69"/>
      <c r="O332" s="69"/>
      <c r="R332" s="69"/>
    </row>
    <row r="333" spans="3:18" ht="16.5">
      <c r="C333" s="69"/>
      <c r="F333" s="69"/>
      <c r="I333" s="69"/>
      <c r="L333" s="69"/>
      <c r="O333" s="69"/>
      <c r="R333" s="69"/>
    </row>
    <row r="334" spans="3:18" ht="16.5">
      <c r="C334" s="69"/>
      <c r="F334" s="69"/>
      <c r="I334" s="69"/>
      <c r="L334" s="69"/>
      <c r="O334" s="69"/>
      <c r="R334" s="69"/>
    </row>
    <row r="335" spans="3:18" ht="16.5">
      <c r="C335" s="69"/>
      <c r="F335" s="69"/>
      <c r="I335" s="69"/>
      <c r="L335" s="69"/>
      <c r="O335" s="69"/>
      <c r="R335" s="69"/>
    </row>
    <row r="336" spans="3:18" ht="16.5">
      <c r="C336" s="69"/>
      <c r="F336" s="69"/>
      <c r="I336" s="69"/>
      <c r="L336" s="69"/>
      <c r="O336" s="69"/>
      <c r="R336" s="69"/>
    </row>
    <row r="337" spans="3:18" ht="16.5">
      <c r="C337" s="69"/>
      <c r="F337" s="69"/>
      <c r="I337" s="69"/>
      <c r="L337" s="69"/>
      <c r="O337" s="69"/>
      <c r="R337" s="69"/>
    </row>
    <row r="338" spans="3:18" ht="16.5">
      <c r="C338" s="69"/>
      <c r="F338" s="69"/>
      <c r="I338" s="69"/>
      <c r="L338" s="69"/>
      <c r="O338" s="69"/>
      <c r="R338" s="69"/>
    </row>
    <row r="339" spans="3:18" ht="16.5">
      <c r="C339" s="69"/>
      <c r="F339" s="69"/>
      <c r="I339" s="69"/>
      <c r="L339" s="69"/>
      <c r="O339" s="69"/>
      <c r="R339" s="69"/>
    </row>
    <row r="340" spans="3:18" ht="16.5">
      <c r="C340" s="69"/>
      <c r="F340" s="69"/>
      <c r="I340" s="69"/>
      <c r="L340" s="69"/>
      <c r="O340" s="69"/>
      <c r="R340" s="69"/>
    </row>
    <row r="341" spans="3:18" ht="16.5">
      <c r="C341" s="69"/>
      <c r="F341" s="69"/>
      <c r="I341" s="69"/>
      <c r="L341" s="69"/>
      <c r="O341" s="69"/>
      <c r="R341" s="69"/>
    </row>
    <row r="342" spans="3:18" ht="16.5">
      <c r="C342" s="69"/>
      <c r="F342" s="69"/>
      <c r="I342" s="69"/>
      <c r="L342" s="69"/>
      <c r="O342" s="69"/>
      <c r="R342" s="69"/>
    </row>
    <row r="343" spans="3:18" ht="16.5">
      <c r="C343" s="69"/>
      <c r="F343" s="69"/>
      <c r="I343" s="69"/>
      <c r="L343" s="69"/>
      <c r="O343" s="69"/>
      <c r="R343" s="69"/>
    </row>
    <row r="344" spans="3:18" ht="16.5">
      <c r="C344" s="69"/>
      <c r="F344" s="69"/>
      <c r="I344" s="69"/>
      <c r="L344" s="69"/>
      <c r="O344" s="69"/>
      <c r="R344" s="69"/>
    </row>
    <row r="345" spans="3:18" ht="16.5">
      <c r="C345" s="69"/>
      <c r="F345" s="69"/>
      <c r="I345" s="69"/>
      <c r="L345" s="69"/>
      <c r="O345" s="69"/>
      <c r="R345" s="69"/>
    </row>
    <row r="346" spans="3:18" ht="16.5">
      <c r="C346" s="69"/>
      <c r="F346" s="69"/>
      <c r="I346" s="69"/>
      <c r="L346" s="69"/>
      <c r="O346" s="69"/>
      <c r="R346" s="69"/>
    </row>
    <row r="347" spans="3:18" ht="16.5">
      <c r="C347" s="69"/>
      <c r="F347" s="69"/>
      <c r="I347" s="69"/>
      <c r="L347" s="69"/>
      <c r="O347" s="69"/>
      <c r="R347" s="69"/>
    </row>
    <row r="348" spans="3:18" ht="16.5">
      <c r="C348" s="69"/>
      <c r="F348" s="69"/>
      <c r="I348" s="69"/>
      <c r="L348" s="69"/>
      <c r="O348" s="69"/>
      <c r="R348" s="69"/>
    </row>
    <row r="349" spans="3:18" ht="16.5">
      <c r="C349" s="69"/>
      <c r="F349" s="69"/>
      <c r="I349" s="69"/>
      <c r="L349" s="69"/>
      <c r="O349" s="69"/>
      <c r="R349" s="69"/>
    </row>
    <row r="350" spans="3:18" ht="16.5">
      <c r="C350" s="69"/>
      <c r="F350" s="69"/>
      <c r="I350" s="69"/>
      <c r="L350" s="69"/>
      <c r="O350" s="69"/>
      <c r="R350" s="69"/>
    </row>
    <row r="351" spans="3:18" ht="16.5">
      <c r="C351" s="69"/>
      <c r="F351" s="69"/>
      <c r="I351" s="69"/>
      <c r="L351" s="69"/>
      <c r="O351" s="69"/>
      <c r="R351" s="69"/>
    </row>
    <row r="352" spans="3:18" ht="16.5">
      <c r="C352" s="69"/>
      <c r="F352" s="69"/>
      <c r="I352" s="69"/>
      <c r="L352" s="69"/>
      <c r="O352" s="69"/>
      <c r="R352" s="69"/>
    </row>
    <row r="353" spans="3:18" ht="16.5">
      <c r="C353" s="69"/>
      <c r="F353" s="69"/>
      <c r="I353" s="69"/>
      <c r="L353" s="69"/>
      <c r="O353" s="69"/>
      <c r="R353" s="69"/>
    </row>
    <row r="354" spans="3:18" ht="16.5">
      <c r="C354" s="69"/>
      <c r="F354" s="69"/>
      <c r="I354" s="69"/>
      <c r="L354" s="69"/>
      <c r="O354" s="69"/>
      <c r="R354" s="69"/>
    </row>
    <row r="355" spans="3:18" ht="16.5">
      <c r="C355" s="69"/>
      <c r="F355" s="69"/>
      <c r="I355" s="69"/>
      <c r="L355" s="69"/>
      <c r="O355" s="69"/>
      <c r="R355" s="69"/>
    </row>
    <row r="356" spans="3:18" ht="16.5">
      <c r="C356" s="69"/>
      <c r="F356" s="69"/>
      <c r="I356" s="69"/>
      <c r="L356" s="69"/>
      <c r="O356" s="69"/>
      <c r="R356" s="69"/>
    </row>
    <row r="357" spans="3:18" ht="16.5">
      <c r="C357" s="69"/>
      <c r="F357" s="69"/>
      <c r="I357" s="69"/>
      <c r="L357" s="69"/>
      <c r="O357" s="69"/>
      <c r="R357" s="69"/>
    </row>
    <row r="358" spans="3:18" ht="16.5">
      <c r="C358" s="69"/>
      <c r="F358" s="69"/>
      <c r="I358" s="69"/>
      <c r="L358" s="69"/>
      <c r="O358" s="69"/>
      <c r="R358" s="69"/>
    </row>
    <row r="359" spans="3:18" ht="16.5">
      <c r="C359" s="69"/>
      <c r="F359" s="69"/>
      <c r="I359" s="69"/>
      <c r="L359" s="69"/>
      <c r="O359" s="69"/>
      <c r="R359" s="69"/>
    </row>
    <row r="360" spans="3:18" ht="16.5">
      <c r="C360" s="69"/>
      <c r="F360" s="69"/>
      <c r="I360" s="69"/>
      <c r="L360" s="69"/>
      <c r="O360" s="69"/>
      <c r="R360" s="69"/>
    </row>
    <row r="361" spans="3:18" ht="16.5">
      <c r="C361" s="69"/>
      <c r="F361" s="69"/>
      <c r="I361" s="69"/>
      <c r="L361" s="69"/>
      <c r="O361" s="69"/>
      <c r="R361" s="69"/>
    </row>
    <row r="362" spans="3:18" ht="16.5">
      <c r="C362" s="69"/>
      <c r="F362" s="69"/>
      <c r="I362" s="69"/>
      <c r="L362" s="69"/>
      <c r="O362" s="69"/>
      <c r="R362" s="69"/>
    </row>
    <row r="363" spans="3:18" ht="16.5">
      <c r="C363" s="69"/>
      <c r="F363" s="69"/>
      <c r="I363" s="69"/>
      <c r="L363" s="69"/>
      <c r="O363" s="69"/>
      <c r="R363" s="69"/>
    </row>
    <row r="364" spans="3:18" ht="16.5">
      <c r="C364" s="69"/>
      <c r="F364" s="69"/>
      <c r="I364" s="69"/>
      <c r="L364" s="69"/>
      <c r="O364" s="69"/>
      <c r="R364" s="69"/>
    </row>
    <row r="365" spans="3:18" ht="16.5">
      <c r="C365" s="69"/>
      <c r="F365" s="69"/>
      <c r="I365" s="69"/>
      <c r="L365" s="69"/>
      <c r="O365" s="69"/>
      <c r="R365" s="69"/>
    </row>
    <row r="366" spans="3:18" ht="16.5">
      <c r="C366" s="69"/>
      <c r="F366" s="69"/>
      <c r="I366" s="69"/>
      <c r="L366" s="69"/>
      <c r="O366" s="69"/>
      <c r="R366" s="69"/>
    </row>
    <row r="367" spans="3:18" ht="16.5">
      <c r="C367" s="69"/>
      <c r="F367" s="69"/>
      <c r="I367" s="69"/>
      <c r="L367" s="69"/>
      <c r="O367" s="69"/>
      <c r="R367" s="69"/>
    </row>
    <row r="368" spans="3:18" ht="16.5">
      <c r="C368" s="69"/>
      <c r="F368" s="69"/>
      <c r="I368" s="69"/>
      <c r="L368" s="69"/>
      <c r="O368" s="69"/>
      <c r="R368" s="69"/>
    </row>
    <row r="369" spans="3:18" ht="16.5">
      <c r="C369" s="69"/>
      <c r="F369" s="69"/>
      <c r="I369" s="69"/>
      <c r="L369" s="69"/>
      <c r="O369" s="69"/>
      <c r="R369" s="69"/>
    </row>
    <row r="370" spans="3:18" ht="16.5">
      <c r="C370" s="69"/>
      <c r="F370" s="69"/>
      <c r="I370" s="69"/>
      <c r="L370" s="69"/>
      <c r="O370" s="69"/>
      <c r="R370" s="69"/>
    </row>
    <row r="371" spans="3:18" ht="16.5">
      <c r="C371" s="69"/>
      <c r="F371" s="69"/>
      <c r="I371" s="69"/>
      <c r="L371" s="69"/>
      <c r="O371" s="69"/>
      <c r="R371" s="69"/>
    </row>
    <row r="372" spans="3:18" ht="16.5">
      <c r="C372" s="69"/>
      <c r="F372" s="69"/>
      <c r="I372" s="69"/>
      <c r="L372" s="69"/>
      <c r="O372" s="69"/>
      <c r="R372" s="69"/>
    </row>
    <row r="373" spans="3:18" ht="16.5">
      <c r="C373" s="69"/>
      <c r="F373" s="69"/>
      <c r="I373" s="69"/>
      <c r="L373" s="69"/>
      <c r="O373" s="69"/>
      <c r="R373" s="69"/>
    </row>
    <row r="374" spans="3:18" ht="16.5">
      <c r="C374" s="69"/>
      <c r="F374" s="69"/>
      <c r="I374" s="69"/>
      <c r="L374" s="69"/>
      <c r="O374" s="69"/>
      <c r="R374" s="69"/>
    </row>
    <row r="375" spans="3:18" ht="16.5">
      <c r="C375" s="69"/>
      <c r="F375" s="69"/>
      <c r="I375" s="69"/>
      <c r="L375" s="69"/>
      <c r="O375" s="69"/>
      <c r="R375" s="69"/>
    </row>
    <row r="376" spans="3:18" ht="16.5">
      <c r="C376" s="69"/>
      <c r="F376" s="69"/>
      <c r="I376" s="69"/>
      <c r="L376" s="69"/>
      <c r="O376" s="69"/>
      <c r="R376" s="69"/>
    </row>
    <row r="377" spans="3:18" ht="16.5">
      <c r="C377" s="69"/>
      <c r="F377" s="69"/>
      <c r="I377" s="69"/>
      <c r="L377" s="69"/>
      <c r="O377" s="69"/>
      <c r="R377" s="69"/>
    </row>
    <row r="378" spans="3:18" ht="16.5">
      <c r="C378" s="69"/>
      <c r="F378" s="69"/>
      <c r="I378" s="69"/>
      <c r="L378" s="69"/>
      <c r="O378" s="69"/>
      <c r="R378" s="69"/>
    </row>
    <row r="379" spans="3:18" ht="16.5">
      <c r="C379" s="69"/>
      <c r="F379" s="69"/>
      <c r="I379" s="69"/>
      <c r="L379" s="69"/>
      <c r="O379" s="69"/>
      <c r="R379" s="69"/>
    </row>
    <row r="380" spans="3:18" ht="16.5">
      <c r="C380" s="69"/>
      <c r="F380" s="69"/>
      <c r="I380" s="69"/>
      <c r="L380" s="69"/>
      <c r="O380" s="69"/>
      <c r="R380" s="69"/>
    </row>
    <row r="381" spans="3:18" ht="16.5">
      <c r="C381" s="69"/>
      <c r="F381" s="69"/>
      <c r="I381" s="69"/>
      <c r="L381" s="69"/>
      <c r="O381" s="69"/>
      <c r="R381" s="69"/>
    </row>
    <row r="382" spans="3:18" ht="16.5">
      <c r="C382" s="69"/>
      <c r="F382" s="69"/>
      <c r="I382" s="69"/>
      <c r="L382" s="69"/>
      <c r="O382" s="69"/>
      <c r="R382" s="69"/>
    </row>
    <row r="383" spans="3:18" ht="16.5">
      <c r="C383" s="69"/>
      <c r="F383" s="69"/>
      <c r="I383" s="69"/>
      <c r="L383" s="69"/>
      <c r="O383" s="69"/>
      <c r="R383" s="69"/>
    </row>
    <row r="384" spans="3:18" ht="16.5">
      <c r="C384" s="69"/>
      <c r="F384" s="69"/>
      <c r="I384" s="69"/>
      <c r="L384" s="69"/>
      <c r="O384" s="69"/>
      <c r="R384" s="69"/>
    </row>
    <row r="385" spans="3:18" ht="16.5">
      <c r="C385" s="69"/>
      <c r="F385" s="69"/>
      <c r="I385" s="69"/>
      <c r="L385" s="69"/>
      <c r="O385" s="69"/>
      <c r="R385" s="69"/>
    </row>
    <row r="386" spans="3:18" ht="16.5">
      <c r="C386" s="69"/>
      <c r="F386" s="69"/>
      <c r="I386" s="69"/>
      <c r="L386" s="69"/>
      <c r="O386" s="69"/>
      <c r="R386" s="69"/>
    </row>
    <row r="387" spans="3:18" ht="16.5">
      <c r="C387" s="69"/>
      <c r="F387" s="69"/>
      <c r="I387" s="69"/>
      <c r="L387" s="69"/>
      <c r="O387" s="69"/>
      <c r="R387" s="69"/>
    </row>
    <row r="388" spans="3:18" ht="16.5">
      <c r="C388" s="69"/>
      <c r="F388" s="69"/>
      <c r="I388" s="69"/>
      <c r="L388" s="69"/>
      <c r="O388" s="69"/>
      <c r="R388" s="69"/>
    </row>
    <row r="389" spans="3:18" ht="16.5">
      <c r="C389" s="69"/>
      <c r="F389" s="69"/>
      <c r="I389" s="69"/>
      <c r="L389" s="69"/>
      <c r="O389" s="69"/>
      <c r="R389" s="69"/>
    </row>
    <row r="390" spans="3:18" ht="16.5">
      <c r="C390" s="69"/>
      <c r="F390" s="69"/>
      <c r="I390" s="69"/>
      <c r="L390" s="69"/>
      <c r="O390" s="69"/>
      <c r="R390" s="69"/>
    </row>
    <row r="391" spans="3:18" ht="16.5">
      <c r="C391" s="69"/>
      <c r="F391" s="69"/>
      <c r="I391" s="69"/>
      <c r="L391" s="69"/>
      <c r="O391" s="69"/>
      <c r="R391" s="69"/>
    </row>
    <row r="392" spans="3:18" ht="16.5">
      <c r="C392" s="69"/>
      <c r="F392" s="69"/>
      <c r="I392" s="69"/>
      <c r="L392" s="69"/>
      <c r="O392" s="69"/>
      <c r="R392" s="69"/>
    </row>
    <row r="393" spans="3:18" ht="16.5">
      <c r="C393" s="69"/>
      <c r="F393" s="69"/>
      <c r="I393" s="69"/>
      <c r="L393" s="69"/>
      <c r="O393" s="69"/>
      <c r="R393" s="69"/>
    </row>
    <row r="394" spans="3:18" ht="16.5">
      <c r="C394" s="69"/>
      <c r="F394" s="69"/>
      <c r="I394" s="69"/>
      <c r="L394" s="69"/>
      <c r="O394" s="69"/>
      <c r="R394" s="69"/>
    </row>
    <row r="395" spans="3:18" ht="16.5">
      <c r="C395" s="69"/>
      <c r="F395" s="69"/>
      <c r="I395" s="69"/>
      <c r="L395" s="69"/>
      <c r="O395" s="69"/>
      <c r="R395" s="69"/>
    </row>
    <row r="396" spans="3:18" ht="16.5">
      <c r="C396" s="69"/>
      <c r="F396" s="69"/>
      <c r="I396" s="69"/>
      <c r="L396" s="69"/>
      <c r="O396" s="69"/>
      <c r="R396" s="69"/>
    </row>
    <row r="397" spans="3:18" ht="16.5">
      <c r="C397" s="69"/>
      <c r="F397" s="69"/>
      <c r="I397" s="69"/>
      <c r="L397" s="69"/>
      <c r="O397" s="69"/>
      <c r="R397" s="69"/>
    </row>
    <row r="398" spans="3:18" ht="16.5">
      <c r="C398" s="69"/>
      <c r="F398" s="69"/>
      <c r="I398" s="69"/>
      <c r="L398" s="69"/>
      <c r="O398" s="69"/>
      <c r="R398" s="69"/>
    </row>
    <row r="399" spans="3:18" ht="16.5">
      <c r="C399" s="69"/>
      <c r="F399" s="69"/>
      <c r="I399" s="69"/>
      <c r="L399" s="69"/>
      <c r="O399" s="69"/>
      <c r="R399" s="69"/>
    </row>
    <row r="400" spans="3:18" ht="16.5">
      <c r="C400" s="69"/>
      <c r="F400" s="69"/>
      <c r="I400" s="69"/>
      <c r="L400" s="69"/>
      <c r="O400" s="69"/>
      <c r="R400" s="69"/>
    </row>
    <row r="401" spans="3:18" ht="16.5">
      <c r="C401" s="69"/>
      <c r="F401" s="69"/>
      <c r="I401" s="69"/>
      <c r="L401" s="69"/>
      <c r="O401" s="69"/>
      <c r="R401" s="69"/>
    </row>
    <row r="402" spans="3:18" ht="16.5">
      <c r="C402" s="69"/>
      <c r="F402" s="69"/>
      <c r="I402" s="69"/>
      <c r="L402" s="69"/>
      <c r="O402" s="69"/>
      <c r="R402" s="69"/>
    </row>
    <row r="403" spans="3:18" ht="16.5">
      <c r="C403" s="69"/>
      <c r="F403" s="69"/>
      <c r="I403" s="69"/>
      <c r="L403" s="69"/>
      <c r="O403" s="69"/>
      <c r="R403" s="69"/>
    </row>
    <row r="404" spans="3:18" ht="16.5">
      <c r="C404" s="69"/>
      <c r="F404" s="69"/>
      <c r="I404" s="69"/>
      <c r="L404" s="69"/>
      <c r="O404" s="69"/>
      <c r="R404" s="69"/>
    </row>
    <row r="405" spans="3:18" ht="16.5">
      <c r="C405" s="69"/>
      <c r="F405" s="69"/>
      <c r="I405" s="69"/>
      <c r="L405" s="69"/>
      <c r="O405" s="69"/>
      <c r="R405" s="69"/>
    </row>
    <row r="406" spans="3:18" ht="16.5">
      <c r="C406" s="69"/>
      <c r="F406" s="69"/>
      <c r="I406" s="69"/>
      <c r="L406" s="69"/>
      <c r="O406" s="69"/>
      <c r="R406" s="69"/>
    </row>
    <row r="407" spans="3:18" ht="16.5">
      <c r="C407" s="69"/>
      <c r="F407" s="69"/>
      <c r="I407" s="69"/>
      <c r="L407" s="69"/>
      <c r="O407" s="69"/>
      <c r="R407" s="69"/>
    </row>
    <row r="408" spans="3:18" ht="16.5">
      <c r="C408" s="69"/>
      <c r="F408" s="69"/>
      <c r="I408" s="69"/>
      <c r="L408" s="69"/>
      <c r="O408" s="69"/>
      <c r="R408" s="69"/>
    </row>
    <row r="409" spans="3:18" ht="16.5">
      <c r="C409" s="69"/>
      <c r="F409" s="69"/>
      <c r="I409" s="69"/>
      <c r="L409" s="69"/>
      <c r="O409" s="69"/>
      <c r="R409" s="69"/>
    </row>
    <row r="410" spans="3:18" ht="16.5">
      <c r="C410" s="69"/>
      <c r="F410" s="69"/>
      <c r="I410" s="69"/>
      <c r="L410" s="69"/>
      <c r="O410" s="69"/>
      <c r="R410" s="69"/>
    </row>
    <row r="411" spans="3:18" ht="16.5">
      <c r="C411" s="69"/>
      <c r="F411" s="69"/>
      <c r="I411" s="69"/>
      <c r="L411" s="69"/>
      <c r="O411" s="69"/>
      <c r="R411" s="69"/>
    </row>
    <row r="412" spans="3:18" ht="16.5">
      <c r="C412" s="69"/>
      <c r="F412" s="69"/>
      <c r="I412" s="69"/>
      <c r="L412" s="69"/>
      <c r="O412" s="69"/>
      <c r="R412" s="69"/>
    </row>
    <row r="413" spans="3:18" ht="16.5">
      <c r="C413" s="69"/>
      <c r="F413" s="69"/>
      <c r="I413" s="69"/>
      <c r="L413" s="69"/>
      <c r="O413" s="69"/>
      <c r="R413" s="69"/>
    </row>
    <row r="414" spans="3:18" ht="16.5">
      <c r="C414" s="69"/>
      <c r="F414" s="69"/>
      <c r="I414" s="69"/>
      <c r="L414" s="69"/>
      <c r="O414" s="69"/>
      <c r="R414" s="69"/>
    </row>
    <row r="415" spans="3:18" ht="16.5">
      <c r="C415" s="69"/>
      <c r="F415" s="69"/>
      <c r="I415" s="69"/>
      <c r="L415" s="69"/>
      <c r="O415" s="69"/>
      <c r="R415" s="69"/>
    </row>
    <row r="416" spans="3:18" ht="16.5">
      <c r="C416" s="69"/>
      <c r="F416" s="69"/>
      <c r="I416" s="69"/>
      <c r="L416" s="69"/>
      <c r="O416" s="69"/>
      <c r="R416" s="69"/>
    </row>
    <row r="417" spans="3:18" ht="16.5">
      <c r="C417" s="69"/>
      <c r="F417" s="69"/>
      <c r="I417" s="69"/>
      <c r="L417" s="69"/>
      <c r="O417" s="69"/>
      <c r="R417" s="69"/>
    </row>
    <row r="418" spans="3:18" ht="16.5">
      <c r="C418" s="69"/>
      <c r="F418" s="69"/>
      <c r="I418" s="69"/>
      <c r="L418" s="69"/>
      <c r="O418" s="69"/>
      <c r="R418" s="69"/>
    </row>
    <row r="419" spans="3:18" ht="16.5">
      <c r="C419" s="69"/>
      <c r="F419" s="69"/>
      <c r="I419" s="69"/>
      <c r="L419" s="69"/>
      <c r="O419" s="69"/>
      <c r="R419" s="69"/>
    </row>
    <row r="420" spans="3:18" ht="16.5">
      <c r="C420" s="69"/>
      <c r="F420" s="69"/>
      <c r="I420" s="69"/>
      <c r="L420" s="69"/>
      <c r="O420" s="69"/>
      <c r="R420" s="69"/>
    </row>
    <row r="421" spans="3:18" ht="16.5">
      <c r="C421" s="69"/>
      <c r="F421" s="69"/>
      <c r="I421" s="69"/>
      <c r="L421" s="69"/>
      <c r="O421" s="69"/>
      <c r="R421" s="69"/>
    </row>
    <row r="422" spans="3:18" ht="16.5">
      <c r="C422" s="69"/>
      <c r="F422" s="69"/>
      <c r="I422" s="69"/>
      <c r="L422" s="69"/>
      <c r="O422" s="69"/>
      <c r="R422" s="69"/>
    </row>
    <row r="423" spans="3:18" ht="16.5">
      <c r="C423" s="69"/>
      <c r="F423" s="69"/>
      <c r="I423" s="69"/>
      <c r="L423" s="69"/>
      <c r="O423" s="69"/>
      <c r="R423" s="69"/>
    </row>
    <row r="424" spans="3:18" ht="16.5">
      <c r="C424" s="69"/>
      <c r="F424" s="69"/>
      <c r="I424" s="69"/>
      <c r="L424" s="69"/>
      <c r="O424" s="69"/>
      <c r="R424" s="69"/>
    </row>
    <row r="425" spans="3:18" ht="16.5">
      <c r="C425" s="69"/>
      <c r="F425" s="69"/>
      <c r="I425" s="69"/>
      <c r="L425" s="69"/>
      <c r="O425" s="69"/>
      <c r="R425" s="69"/>
    </row>
    <row r="426" spans="3:18" ht="16.5">
      <c r="C426" s="69"/>
      <c r="F426" s="69"/>
      <c r="I426" s="69"/>
      <c r="L426" s="69"/>
      <c r="O426" s="69"/>
      <c r="R426" s="69"/>
    </row>
    <row r="427" spans="3:18" ht="16.5">
      <c r="C427" s="69"/>
      <c r="F427" s="69"/>
      <c r="I427" s="69"/>
      <c r="L427" s="69"/>
      <c r="O427" s="69"/>
      <c r="R427" s="69"/>
    </row>
    <row r="428" spans="3:18" ht="16.5">
      <c r="C428" s="69"/>
      <c r="F428" s="69"/>
      <c r="I428" s="69"/>
      <c r="L428" s="69"/>
      <c r="O428" s="69"/>
      <c r="R428" s="69"/>
    </row>
    <row r="429" spans="3:18" ht="16.5">
      <c r="C429" s="69"/>
      <c r="F429" s="69"/>
      <c r="I429" s="69"/>
      <c r="L429" s="69"/>
      <c r="O429" s="69"/>
      <c r="R429" s="69"/>
    </row>
    <row r="430" spans="3:18" ht="16.5">
      <c r="C430" s="69"/>
      <c r="F430" s="69"/>
      <c r="I430" s="69"/>
      <c r="L430" s="69"/>
      <c r="O430" s="69"/>
      <c r="R430" s="69"/>
    </row>
    <row r="431" spans="3:18" ht="16.5">
      <c r="C431" s="69"/>
      <c r="F431" s="69"/>
      <c r="I431" s="69"/>
      <c r="L431" s="69"/>
      <c r="O431" s="69"/>
      <c r="R431" s="69"/>
    </row>
    <row r="432" spans="3:18" ht="16.5">
      <c r="C432" s="69"/>
      <c r="F432" s="69"/>
      <c r="I432" s="69"/>
      <c r="L432" s="69"/>
      <c r="O432" s="69"/>
      <c r="R432" s="69"/>
    </row>
    <row r="433" spans="3:18" ht="16.5">
      <c r="C433" s="69"/>
      <c r="F433" s="69"/>
      <c r="I433" s="69"/>
      <c r="L433" s="69"/>
      <c r="O433" s="69"/>
      <c r="R433" s="69"/>
    </row>
    <row r="434" spans="3:18" ht="16.5">
      <c r="C434" s="69"/>
      <c r="F434" s="69"/>
      <c r="I434" s="69"/>
      <c r="L434" s="69"/>
      <c r="O434" s="69"/>
      <c r="R434" s="69"/>
    </row>
    <row r="435" spans="3:18" ht="16.5">
      <c r="C435" s="69"/>
      <c r="F435" s="69"/>
      <c r="I435" s="69"/>
      <c r="L435" s="69"/>
      <c r="O435" s="69"/>
      <c r="R435" s="69"/>
    </row>
    <row r="436" spans="3:18" ht="16.5">
      <c r="C436" s="69"/>
      <c r="F436" s="69"/>
      <c r="I436" s="69"/>
      <c r="L436" s="69"/>
      <c r="O436" s="69"/>
      <c r="R436" s="69"/>
    </row>
    <row r="437" spans="3:18" ht="16.5">
      <c r="C437" s="69"/>
      <c r="F437" s="69"/>
      <c r="I437" s="69"/>
      <c r="L437" s="69"/>
      <c r="O437" s="69"/>
      <c r="R437" s="69"/>
    </row>
    <row r="438" spans="3:18" ht="16.5">
      <c r="C438" s="69"/>
      <c r="F438" s="69"/>
      <c r="I438" s="69"/>
      <c r="L438" s="69"/>
      <c r="O438" s="69"/>
      <c r="R438" s="69"/>
    </row>
    <row r="439" spans="3:18" ht="16.5">
      <c r="C439" s="69"/>
      <c r="F439" s="69"/>
      <c r="I439" s="69"/>
      <c r="L439" s="69"/>
      <c r="O439" s="69"/>
      <c r="R439" s="69"/>
    </row>
    <row r="440" spans="3:18" ht="16.5">
      <c r="C440" s="69"/>
      <c r="F440" s="69"/>
      <c r="I440" s="69"/>
      <c r="L440" s="69"/>
      <c r="O440" s="69"/>
      <c r="R440" s="69"/>
    </row>
    <row r="441" spans="3:18" ht="16.5">
      <c r="C441" s="69"/>
      <c r="F441" s="69"/>
      <c r="I441" s="69"/>
      <c r="L441" s="69"/>
      <c r="O441" s="69"/>
      <c r="R441" s="69"/>
    </row>
    <row r="442" spans="3:18" ht="16.5">
      <c r="C442" s="69"/>
      <c r="F442" s="69"/>
      <c r="I442" s="69"/>
      <c r="L442" s="69"/>
      <c r="O442" s="69"/>
      <c r="R442" s="69"/>
    </row>
    <row r="443" spans="3:18" ht="16.5">
      <c r="C443" s="69"/>
      <c r="F443" s="69"/>
      <c r="I443" s="69"/>
      <c r="L443" s="69"/>
      <c r="O443" s="69"/>
      <c r="R443" s="69"/>
    </row>
    <row r="444" spans="3:18" ht="16.5">
      <c r="C444" s="69"/>
      <c r="F444" s="69"/>
      <c r="I444" s="69"/>
      <c r="L444" s="69"/>
      <c r="O444" s="69"/>
      <c r="R444" s="69"/>
    </row>
    <row r="445" spans="3:18" ht="16.5">
      <c r="C445" s="69"/>
      <c r="F445" s="69"/>
      <c r="I445" s="69"/>
      <c r="L445" s="69"/>
      <c r="O445" s="69"/>
      <c r="R445" s="69"/>
    </row>
    <row r="446" spans="3:18" ht="16.5">
      <c r="C446" s="69"/>
      <c r="F446" s="69"/>
      <c r="I446" s="69"/>
      <c r="L446" s="69"/>
      <c r="O446" s="69"/>
      <c r="R446" s="69"/>
    </row>
    <row r="447" spans="3:18" ht="16.5">
      <c r="C447" s="69"/>
      <c r="F447" s="69"/>
      <c r="I447" s="69"/>
      <c r="L447" s="69"/>
      <c r="O447" s="69"/>
      <c r="R447" s="69"/>
    </row>
    <row r="448" spans="3:18" ht="16.5">
      <c r="C448" s="69"/>
      <c r="F448" s="69"/>
      <c r="I448" s="69"/>
      <c r="L448" s="69"/>
      <c r="O448" s="69"/>
      <c r="R448" s="69"/>
    </row>
    <row r="449" spans="3:18" ht="16.5">
      <c r="C449" s="69"/>
      <c r="F449" s="69"/>
      <c r="I449" s="69"/>
      <c r="L449" s="69"/>
      <c r="O449" s="69"/>
      <c r="R449" s="69"/>
    </row>
    <row r="450" spans="3:18" ht="16.5">
      <c r="C450" s="69"/>
      <c r="F450" s="69"/>
      <c r="I450" s="69"/>
      <c r="L450" s="69"/>
      <c r="O450" s="69"/>
      <c r="R450" s="69"/>
    </row>
    <row r="451" spans="3:18" ht="16.5">
      <c r="C451" s="69"/>
      <c r="F451" s="69"/>
      <c r="I451" s="69"/>
      <c r="L451" s="69"/>
      <c r="O451" s="69"/>
      <c r="R451" s="69"/>
    </row>
    <row r="452" spans="3:18" ht="16.5">
      <c r="C452" s="69"/>
      <c r="F452" s="69"/>
      <c r="I452" s="69"/>
      <c r="L452" s="69"/>
      <c r="O452" s="69"/>
      <c r="R452" s="69"/>
    </row>
    <row r="453" spans="3:18" ht="16.5">
      <c r="C453" s="69"/>
      <c r="F453" s="69"/>
      <c r="I453" s="69"/>
      <c r="L453" s="69"/>
      <c r="O453" s="69"/>
      <c r="R453" s="69"/>
    </row>
    <row r="454" spans="3:18" ht="16.5">
      <c r="C454" s="69"/>
      <c r="F454" s="69"/>
      <c r="I454" s="69"/>
      <c r="L454" s="69"/>
      <c r="O454" s="69"/>
      <c r="R454" s="69"/>
    </row>
    <row r="455" spans="3:18" ht="16.5">
      <c r="C455" s="69"/>
      <c r="F455" s="69"/>
      <c r="I455" s="69"/>
      <c r="L455" s="69"/>
      <c r="O455" s="69"/>
      <c r="R455" s="69"/>
    </row>
    <row r="456" spans="3:18" ht="16.5">
      <c r="C456" s="69"/>
      <c r="F456" s="69"/>
      <c r="I456" s="69"/>
      <c r="L456" s="69"/>
      <c r="O456" s="69"/>
      <c r="R456" s="69"/>
    </row>
    <row r="457" spans="3:18" ht="16.5">
      <c r="C457" s="69"/>
      <c r="F457" s="69"/>
      <c r="I457" s="69"/>
      <c r="L457" s="69"/>
      <c r="O457" s="69"/>
      <c r="R457" s="69"/>
    </row>
    <row r="458" spans="3:18" ht="16.5">
      <c r="C458" s="69"/>
      <c r="F458" s="69"/>
      <c r="I458" s="69"/>
      <c r="L458" s="69"/>
      <c r="O458" s="69"/>
      <c r="R458" s="69"/>
    </row>
    <row r="459" spans="3:18" ht="16.5">
      <c r="C459" s="69"/>
      <c r="F459" s="69"/>
      <c r="I459" s="69"/>
      <c r="L459" s="69"/>
      <c r="O459" s="69"/>
      <c r="R459" s="69"/>
    </row>
    <row r="460" spans="3:18" ht="16.5">
      <c r="C460" s="69"/>
      <c r="F460" s="69"/>
      <c r="I460" s="69"/>
      <c r="L460" s="69"/>
      <c r="O460" s="69"/>
      <c r="R460" s="69"/>
    </row>
    <row r="461" spans="3:18" ht="16.5">
      <c r="C461" s="69"/>
      <c r="F461" s="69"/>
      <c r="I461" s="69"/>
      <c r="L461" s="69"/>
      <c r="O461" s="69"/>
      <c r="R461" s="69"/>
    </row>
    <row r="462" spans="3:18" ht="16.5">
      <c r="C462" s="69"/>
      <c r="F462" s="69"/>
      <c r="I462" s="69"/>
      <c r="L462" s="69"/>
      <c r="O462" s="69"/>
      <c r="R462" s="69"/>
    </row>
    <row r="463" spans="3:18" ht="16.5">
      <c r="C463" s="69"/>
      <c r="F463" s="69"/>
      <c r="I463" s="69"/>
      <c r="L463" s="69"/>
      <c r="O463" s="69"/>
      <c r="R463" s="69"/>
    </row>
    <row r="464" spans="3:18" ht="16.5">
      <c r="C464" s="69"/>
      <c r="F464" s="69"/>
      <c r="I464" s="69"/>
      <c r="L464" s="69"/>
      <c r="O464" s="69"/>
      <c r="R464" s="69"/>
    </row>
    <row r="465" spans="3:18" ht="16.5">
      <c r="C465" s="69"/>
      <c r="F465" s="69"/>
      <c r="I465" s="69"/>
      <c r="L465" s="69"/>
      <c r="O465" s="69"/>
      <c r="R465" s="69"/>
    </row>
    <row r="466" spans="3:18" ht="16.5">
      <c r="C466" s="69"/>
      <c r="F466" s="69"/>
      <c r="I466" s="69"/>
      <c r="L466" s="69"/>
      <c r="O466" s="69"/>
      <c r="R466" s="69"/>
    </row>
    <row r="467" spans="3:18" ht="16.5">
      <c r="C467" s="69"/>
      <c r="F467" s="69"/>
      <c r="I467" s="69"/>
      <c r="L467" s="69"/>
      <c r="O467" s="69"/>
      <c r="R467" s="69"/>
    </row>
    <row r="468" spans="3:18" ht="16.5">
      <c r="C468" s="69"/>
      <c r="F468" s="69"/>
      <c r="I468" s="69"/>
      <c r="L468" s="69"/>
      <c r="O468" s="69"/>
      <c r="R468" s="69"/>
    </row>
    <row r="469" spans="3:18" ht="16.5">
      <c r="C469" s="69"/>
      <c r="F469" s="69"/>
      <c r="I469" s="69"/>
      <c r="L469" s="69"/>
      <c r="O469" s="69"/>
      <c r="R469" s="69"/>
    </row>
    <row r="470" spans="3:18" ht="16.5">
      <c r="C470" s="69"/>
      <c r="F470" s="69"/>
      <c r="I470" s="69"/>
      <c r="L470" s="69"/>
      <c r="O470" s="69"/>
      <c r="R470" s="69"/>
    </row>
    <row r="471" spans="3:18" ht="16.5">
      <c r="C471" s="69"/>
      <c r="F471" s="69"/>
      <c r="I471" s="69"/>
      <c r="L471" s="69"/>
      <c r="O471" s="69"/>
      <c r="R471" s="69"/>
    </row>
    <row r="472" spans="3:18" ht="16.5">
      <c r="C472" s="69"/>
      <c r="F472" s="69"/>
      <c r="I472" s="69"/>
      <c r="L472" s="69"/>
      <c r="O472" s="69"/>
      <c r="R472" s="69"/>
    </row>
    <row r="473" spans="3:18" ht="16.5">
      <c r="C473" s="69"/>
      <c r="F473" s="69"/>
      <c r="I473" s="69"/>
      <c r="L473" s="69"/>
      <c r="O473" s="69"/>
      <c r="R473" s="69"/>
    </row>
    <row r="474" spans="3:18" ht="16.5">
      <c r="C474" s="69"/>
      <c r="F474" s="69"/>
      <c r="I474" s="69"/>
      <c r="L474" s="69"/>
      <c r="O474" s="69"/>
      <c r="R474" s="69"/>
    </row>
    <row r="475" spans="3:18" ht="16.5">
      <c r="C475" s="69"/>
      <c r="F475" s="69"/>
      <c r="I475" s="69"/>
      <c r="L475" s="69"/>
      <c r="O475" s="69"/>
      <c r="R475" s="69"/>
    </row>
    <row r="476" spans="3:18" ht="16.5">
      <c r="C476" s="69"/>
      <c r="F476" s="69"/>
      <c r="I476" s="69"/>
      <c r="L476" s="69"/>
      <c r="O476" s="69"/>
      <c r="R476" s="69"/>
    </row>
    <row r="477" spans="3:18" ht="16.5">
      <c r="C477" s="69"/>
      <c r="F477" s="69"/>
      <c r="I477" s="69"/>
      <c r="L477" s="69"/>
      <c r="O477" s="69"/>
      <c r="R477" s="69"/>
    </row>
    <row r="478" spans="3:18" ht="16.5">
      <c r="C478" s="69"/>
      <c r="F478" s="69"/>
      <c r="I478" s="69"/>
      <c r="L478" s="69"/>
      <c r="O478" s="69"/>
      <c r="R478" s="69"/>
    </row>
    <row r="479" spans="3:18" ht="16.5">
      <c r="C479" s="69"/>
      <c r="F479" s="69"/>
      <c r="I479" s="69"/>
      <c r="L479" s="69"/>
      <c r="O479" s="69"/>
      <c r="R479" s="69"/>
    </row>
    <row r="480" spans="3:18" ht="16.5">
      <c r="C480" s="69"/>
      <c r="F480" s="69"/>
      <c r="I480" s="69"/>
      <c r="L480" s="69"/>
      <c r="O480" s="69"/>
      <c r="R480" s="69"/>
    </row>
    <row r="481" spans="3:18" ht="16.5">
      <c r="C481" s="69"/>
      <c r="F481" s="69"/>
      <c r="I481" s="69"/>
      <c r="L481" s="69"/>
      <c r="O481" s="69"/>
      <c r="R481" s="69"/>
    </row>
    <row r="482" spans="3:18" ht="16.5">
      <c r="C482" s="69"/>
      <c r="F482" s="69"/>
      <c r="I482" s="69"/>
      <c r="L482" s="69"/>
      <c r="O482" s="69"/>
      <c r="R482" s="69"/>
    </row>
    <row r="483" spans="3:18" ht="16.5">
      <c r="C483" s="69"/>
      <c r="F483" s="69"/>
      <c r="I483" s="69"/>
      <c r="L483" s="69"/>
      <c r="O483" s="69"/>
      <c r="R483" s="69"/>
    </row>
    <row r="484" spans="3:18" ht="16.5">
      <c r="C484" s="69"/>
      <c r="F484" s="69"/>
      <c r="I484" s="69"/>
      <c r="L484" s="69"/>
      <c r="O484" s="69"/>
      <c r="R484" s="69"/>
    </row>
    <row r="485" spans="3:18" ht="16.5">
      <c r="C485" s="69"/>
      <c r="F485" s="69"/>
      <c r="I485" s="69"/>
      <c r="L485" s="69"/>
      <c r="O485" s="69"/>
      <c r="R485" s="69"/>
    </row>
    <row r="486" spans="3:18" ht="16.5">
      <c r="C486" s="69"/>
      <c r="F486" s="69"/>
      <c r="I486" s="69"/>
      <c r="L486" s="69"/>
      <c r="O486" s="69"/>
      <c r="R486" s="69"/>
    </row>
    <row r="487" spans="3:18" ht="16.5">
      <c r="C487" s="69"/>
      <c r="F487" s="69"/>
      <c r="I487" s="69"/>
      <c r="L487" s="69"/>
      <c r="O487" s="69"/>
      <c r="R487" s="69"/>
    </row>
    <row r="488" spans="3:18" ht="16.5">
      <c r="C488" s="69"/>
      <c r="F488" s="69"/>
      <c r="I488" s="69"/>
      <c r="L488" s="69"/>
      <c r="O488" s="69"/>
      <c r="R488" s="69"/>
    </row>
    <row r="489" spans="3:18" ht="16.5">
      <c r="C489" s="69"/>
      <c r="F489" s="69"/>
      <c r="I489" s="69"/>
      <c r="L489" s="69"/>
      <c r="O489" s="69"/>
      <c r="R489" s="69"/>
    </row>
    <row r="490" spans="3:18" ht="16.5">
      <c r="C490" s="69"/>
      <c r="F490" s="69"/>
      <c r="I490" s="69"/>
      <c r="L490" s="69"/>
      <c r="O490" s="69"/>
      <c r="R490" s="69"/>
    </row>
    <row r="491" spans="3:18" ht="16.5">
      <c r="C491" s="69"/>
      <c r="F491" s="69"/>
      <c r="I491" s="69"/>
      <c r="L491" s="69"/>
      <c r="O491" s="69"/>
      <c r="R491" s="69"/>
    </row>
    <row r="492" spans="3:18" ht="16.5">
      <c r="C492" s="69"/>
      <c r="F492" s="69"/>
      <c r="I492" s="69"/>
      <c r="L492" s="69"/>
      <c r="O492" s="69"/>
      <c r="R492" s="69"/>
    </row>
    <row r="493" spans="3:18" ht="16.5">
      <c r="C493" s="69"/>
      <c r="F493" s="69"/>
      <c r="I493" s="69"/>
      <c r="L493" s="69"/>
      <c r="O493" s="69"/>
      <c r="R493" s="69"/>
    </row>
    <row r="494" spans="3:18" ht="16.5">
      <c r="C494" s="69"/>
      <c r="F494" s="69"/>
      <c r="I494" s="69"/>
      <c r="L494" s="69"/>
      <c r="O494" s="69"/>
      <c r="R494" s="69"/>
    </row>
    <row r="495" spans="3:18" ht="16.5">
      <c r="C495" s="69"/>
      <c r="F495" s="69"/>
      <c r="I495" s="69"/>
      <c r="L495" s="69"/>
      <c r="O495" s="69"/>
      <c r="R495" s="69"/>
    </row>
    <row r="496" spans="3:18" ht="16.5">
      <c r="C496" s="69"/>
      <c r="F496" s="69"/>
      <c r="I496" s="69"/>
      <c r="L496" s="69"/>
      <c r="O496" s="69"/>
      <c r="R496" s="69"/>
    </row>
    <row r="497" spans="3:18" ht="16.5">
      <c r="C497" s="69"/>
      <c r="F497" s="69"/>
      <c r="I497" s="69"/>
      <c r="L497" s="69"/>
      <c r="O497" s="69"/>
      <c r="R497" s="69"/>
    </row>
    <row r="498" spans="3:18" ht="16.5">
      <c r="C498" s="69"/>
      <c r="F498" s="69"/>
      <c r="I498" s="69"/>
      <c r="L498" s="69"/>
      <c r="O498" s="69"/>
      <c r="R498" s="69"/>
    </row>
    <row r="499" spans="3:18" ht="16.5">
      <c r="C499" s="69"/>
      <c r="F499" s="69"/>
      <c r="I499" s="69"/>
      <c r="L499" s="69"/>
      <c r="O499" s="69"/>
      <c r="R499" s="69"/>
    </row>
    <row r="500" spans="3:18" ht="16.5">
      <c r="C500" s="69"/>
      <c r="F500" s="69"/>
      <c r="I500" s="69"/>
      <c r="L500" s="69"/>
      <c r="O500" s="69"/>
      <c r="R500" s="69"/>
    </row>
    <row r="501" spans="3:18" ht="16.5">
      <c r="C501" s="69"/>
      <c r="F501" s="69"/>
      <c r="I501" s="69"/>
      <c r="L501" s="69"/>
      <c r="O501" s="69"/>
      <c r="R501" s="69"/>
    </row>
    <row r="502" spans="3:18" ht="16.5">
      <c r="C502" s="69"/>
      <c r="F502" s="69"/>
      <c r="I502" s="69"/>
      <c r="L502" s="69"/>
      <c r="O502" s="69"/>
      <c r="R502" s="69"/>
    </row>
    <row r="503" spans="3:18" ht="16.5">
      <c r="C503" s="69"/>
      <c r="F503" s="69"/>
      <c r="I503" s="69"/>
      <c r="L503" s="69"/>
      <c r="O503" s="69"/>
      <c r="R503" s="69"/>
    </row>
    <row r="504" spans="3:18" ht="16.5">
      <c r="C504" s="69"/>
      <c r="F504" s="69"/>
      <c r="I504" s="69"/>
      <c r="L504" s="69"/>
      <c r="O504" s="69"/>
      <c r="R504" s="69"/>
    </row>
    <row r="505" spans="3:18" ht="16.5">
      <c r="C505" s="69"/>
      <c r="F505" s="69"/>
      <c r="I505" s="69"/>
      <c r="L505" s="69"/>
      <c r="O505" s="69"/>
      <c r="R505" s="69"/>
    </row>
    <row r="506" spans="3:18" ht="16.5">
      <c r="C506" s="69"/>
      <c r="F506" s="69"/>
      <c r="I506" s="69"/>
      <c r="L506" s="69"/>
      <c r="O506" s="69"/>
      <c r="R506" s="69"/>
    </row>
    <row r="507" spans="3:18" ht="16.5">
      <c r="C507" s="69"/>
      <c r="F507" s="69"/>
      <c r="I507" s="69"/>
      <c r="L507" s="69"/>
      <c r="O507" s="69"/>
      <c r="R507" s="69"/>
    </row>
    <row r="508" spans="3:18" ht="16.5">
      <c r="C508" s="69"/>
      <c r="F508" s="69"/>
      <c r="I508" s="69"/>
      <c r="L508" s="69"/>
      <c r="O508" s="69"/>
      <c r="R508" s="69"/>
    </row>
    <row r="509" spans="3:18" ht="16.5">
      <c r="C509" s="69"/>
      <c r="F509" s="69"/>
      <c r="I509" s="69"/>
      <c r="L509" s="69"/>
      <c r="O509" s="69"/>
      <c r="R509" s="69"/>
    </row>
    <row r="510" spans="3:18" ht="16.5">
      <c r="C510" s="69"/>
      <c r="F510" s="69"/>
      <c r="I510" s="69"/>
      <c r="L510" s="69"/>
      <c r="O510" s="69"/>
      <c r="R510" s="69"/>
    </row>
    <row r="511" spans="3:18" ht="16.5">
      <c r="C511" s="69"/>
      <c r="F511" s="69"/>
      <c r="I511" s="69"/>
      <c r="L511" s="69"/>
      <c r="O511" s="69"/>
      <c r="R511" s="69"/>
    </row>
    <row r="512" spans="3:18" ht="16.5">
      <c r="C512" s="69"/>
      <c r="F512" s="69"/>
      <c r="I512" s="69"/>
      <c r="L512" s="69"/>
      <c r="O512" s="69"/>
      <c r="R512" s="69"/>
    </row>
    <row r="513" spans="3:18" ht="16.5">
      <c r="C513" s="69"/>
      <c r="F513" s="69"/>
      <c r="I513" s="69"/>
      <c r="L513" s="69"/>
      <c r="O513" s="69"/>
      <c r="R513" s="69"/>
    </row>
    <row r="514" spans="3:18" ht="16.5">
      <c r="C514" s="69"/>
      <c r="F514" s="69"/>
      <c r="I514" s="69"/>
      <c r="L514" s="69"/>
      <c r="O514" s="69"/>
      <c r="R514" s="69"/>
    </row>
    <row r="515" spans="3:18" ht="16.5">
      <c r="C515" s="69"/>
      <c r="F515" s="69"/>
      <c r="I515" s="69"/>
      <c r="L515" s="69"/>
      <c r="O515" s="69"/>
      <c r="R515" s="69"/>
    </row>
    <row r="516" spans="3:18" ht="16.5">
      <c r="C516" s="69"/>
      <c r="F516" s="69"/>
      <c r="I516" s="69"/>
      <c r="L516" s="69"/>
      <c r="O516" s="69"/>
      <c r="R516" s="69"/>
    </row>
    <row r="517" spans="3:18" ht="16.5">
      <c r="C517" s="69"/>
      <c r="F517" s="69"/>
      <c r="I517" s="69"/>
      <c r="L517" s="69"/>
      <c r="O517" s="69"/>
      <c r="R517" s="69"/>
    </row>
    <row r="518" spans="3:18" ht="16.5">
      <c r="C518" s="69"/>
      <c r="F518" s="69"/>
      <c r="I518" s="69"/>
      <c r="L518" s="69"/>
      <c r="O518" s="69"/>
      <c r="R518" s="69"/>
    </row>
    <row r="519" spans="3:18" ht="16.5">
      <c r="C519" s="69"/>
      <c r="F519" s="69"/>
      <c r="I519" s="69"/>
      <c r="L519" s="69"/>
      <c r="O519" s="69"/>
      <c r="R519" s="69"/>
    </row>
    <row r="520" spans="3:18" ht="16.5">
      <c r="C520" s="69"/>
      <c r="F520" s="69"/>
      <c r="I520" s="69"/>
      <c r="L520" s="69"/>
      <c r="O520" s="69"/>
      <c r="R520" s="69"/>
    </row>
    <row r="521" spans="3:18" ht="16.5">
      <c r="C521" s="69"/>
      <c r="F521" s="69"/>
      <c r="I521" s="69"/>
      <c r="L521" s="69"/>
      <c r="O521" s="69"/>
      <c r="R521" s="69"/>
    </row>
    <row r="522" spans="3:18" ht="16.5">
      <c r="C522" s="69"/>
      <c r="F522" s="69"/>
      <c r="I522" s="69"/>
      <c r="L522" s="69"/>
      <c r="O522" s="69"/>
      <c r="R522" s="69"/>
    </row>
    <row r="523" spans="3:18" ht="16.5">
      <c r="C523" s="69"/>
      <c r="F523" s="69"/>
      <c r="I523" s="69"/>
      <c r="L523" s="69"/>
      <c r="O523" s="69"/>
      <c r="R523" s="69"/>
    </row>
    <row r="524" spans="3:18" ht="16.5">
      <c r="C524" s="69"/>
      <c r="F524" s="69"/>
      <c r="I524" s="69"/>
      <c r="L524" s="69"/>
      <c r="O524" s="69"/>
      <c r="R524" s="69"/>
    </row>
    <row r="525" spans="3:18" ht="16.5">
      <c r="C525" s="69"/>
      <c r="F525" s="69"/>
      <c r="I525" s="69"/>
      <c r="L525" s="69"/>
      <c r="O525" s="69"/>
      <c r="R525" s="69"/>
    </row>
    <row r="526" spans="3:18" ht="16.5">
      <c r="C526" s="69"/>
      <c r="F526" s="69"/>
      <c r="I526" s="69"/>
      <c r="L526" s="69"/>
      <c r="O526" s="69"/>
      <c r="R526" s="69"/>
    </row>
    <row r="527" spans="3:18" ht="16.5">
      <c r="C527" s="69"/>
      <c r="F527" s="69"/>
      <c r="I527" s="69"/>
      <c r="L527" s="69"/>
      <c r="O527" s="69"/>
      <c r="R527" s="69"/>
    </row>
    <row r="528" spans="3:18" ht="16.5">
      <c r="C528" s="69"/>
      <c r="F528" s="69"/>
      <c r="I528" s="69"/>
      <c r="L528" s="69"/>
      <c r="O528" s="69"/>
      <c r="R528" s="69"/>
    </row>
    <row r="529" spans="3:18" ht="16.5">
      <c r="C529" s="69"/>
      <c r="F529" s="69"/>
      <c r="I529" s="69"/>
      <c r="L529" s="69"/>
      <c r="O529" s="69"/>
      <c r="R529" s="69"/>
    </row>
    <row r="530" spans="3:18" ht="16.5">
      <c r="C530" s="69"/>
      <c r="F530" s="69"/>
      <c r="I530" s="69"/>
      <c r="L530" s="69"/>
      <c r="O530" s="69"/>
      <c r="R530" s="69"/>
    </row>
    <row r="531" spans="3:18" ht="16.5">
      <c r="C531" s="69"/>
      <c r="F531" s="69"/>
      <c r="I531" s="69"/>
      <c r="L531" s="69"/>
      <c r="O531" s="69"/>
      <c r="R531" s="69"/>
    </row>
    <row r="532" spans="3:18" ht="16.5">
      <c r="C532" s="69"/>
      <c r="F532" s="69"/>
      <c r="I532" s="69"/>
      <c r="L532" s="69"/>
      <c r="O532" s="69"/>
      <c r="R532" s="69"/>
    </row>
    <row r="533" spans="3:18" ht="16.5">
      <c r="C533" s="69"/>
      <c r="F533" s="69"/>
      <c r="I533" s="69"/>
      <c r="L533" s="69"/>
      <c r="O533" s="69"/>
      <c r="R533" s="69"/>
    </row>
    <row r="534" spans="3:18" ht="16.5">
      <c r="C534" s="69"/>
      <c r="F534" s="69"/>
      <c r="I534" s="69"/>
      <c r="L534" s="69"/>
      <c r="O534" s="69"/>
      <c r="R534" s="69"/>
    </row>
    <row r="535" spans="3:18" ht="16.5">
      <c r="C535" s="69"/>
      <c r="F535" s="69"/>
      <c r="I535" s="69"/>
      <c r="L535" s="69"/>
      <c r="O535" s="69"/>
      <c r="R535" s="69"/>
    </row>
    <row r="536" spans="3:18" ht="16.5">
      <c r="C536" s="69"/>
      <c r="F536" s="69"/>
      <c r="I536" s="69"/>
      <c r="L536" s="69"/>
      <c r="O536" s="69"/>
      <c r="R536" s="69"/>
    </row>
    <row r="537" spans="3:18" ht="16.5">
      <c r="C537" s="69"/>
      <c r="F537" s="69"/>
      <c r="I537" s="69"/>
      <c r="L537" s="69"/>
      <c r="O537" s="69"/>
      <c r="R537" s="69"/>
    </row>
    <row r="538" spans="3:18" ht="16.5">
      <c r="C538" s="69"/>
      <c r="F538" s="69"/>
      <c r="I538" s="69"/>
      <c r="L538" s="69"/>
      <c r="O538" s="69"/>
      <c r="R538" s="69"/>
    </row>
    <row r="539" spans="3:18" ht="16.5">
      <c r="C539" s="69"/>
      <c r="F539" s="69"/>
      <c r="I539" s="69"/>
      <c r="L539" s="69"/>
      <c r="O539" s="69"/>
      <c r="R539" s="69"/>
    </row>
    <row r="540" spans="3:18" ht="16.5">
      <c r="C540" s="69"/>
      <c r="F540" s="69"/>
      <c r="I540" s="69"/>
      <c r="L540" s="69"/>
      <c r="O540" s="69"/>
      <c r="R540" s="69"/>
    </row>
    <row r="541" spans="3:18" ht="16.5">
      <c r="C541" s="69"/>
      <c r="F541" s="69"/>
      <c r="I541" s="69"/>
      <c r="L541" s="69"/>
      <c r="O541" s="69"/>
      <c r="R541" s="69"/>
    </row>
    <row r="542" spans="3:18" ht="16.5">
      <c r="C542" s="69"/>
      <c r="F542" s="69"/>
      <c r="I542" s="69"/>
      <c r="L542" s="69"/>
      <c r="O542" s="69"/>
      <c r="R542" s="69"/>
    </row>
    <row r="543" spans="3:18" ht="16.5">
      <c r="C543" s="69"/>
      <c r="F543" s="69"/>
      <c r="I543" s="69"/>
      <c r="L543" s="69"/>
      <c r="O543" s="69"/>
      <c r="R543" s="69"/>
    </row>
    <row r="544" spans="3:18" ht="16.5">
      <c r="C544" s="69"/>
      <c r="F544" s="69"/>
      <c r="I544" s="69"/>
      <c r="L544" s="69"/>
      <c r="O544" s="69"/>
      <c r="R544" s="69"/>
    </row>
    <row r="545" spans="3:18" ht="16.5">
      <c r="C545" s="69"/>
      <c r="F545" s="69"/>
      <c r="I545" s="69"/>
      <c r="L545" s="69"/>
      <c r="O545" s="69"/>
      <c r="R545" s="69"/>
    </row>
    <row r="546" spans="3:18" ht="16.5">
      <c r="C546" s="69"/>
      <c r="F546" s="69"/>
      <c r="I546" s="69"/>
      <c r="L546" s="69"/>
      <c r="O546" s="69"/>
      <c r="R546" s="69"/>
    </row>
    <row r="547" spans="3:18" ht="16.5">
      <c r="C547" s="69"/>
      <c r="F547" s="69"/>
      <c r="I547" s="69"/>
      <c r="L547" s="69"/>
      <c r="O547" s="69"/>
      <c r="R547" s="69"/>
    </row>
    <row r="548" spans="3:18" ht="16.5">
      <c r="C548" s="69"/>
      <c r="F548" s="69"/>
      <c r="I548" s="69"/>
      <c r="L548" s="69"/>
      <c r="O548" s="69"/>
      <c r="R548" s="69"/>
    </row>
    <row r="549" spans="3:18" ht="16.5">
      <c r="C549" s="69"/>
      <c r="F549" s="69"/>
      <c r="I549" s="69"/>
      <c r="L549" s="69"/>
      <c r="O549" s="69"/>
      <c r="R549" s="69"/>
    </row>
    <row r="550" spans="3:18" ht="16.5">
      <c r="C550" s="69"/>
      <c r="F550" s="69"/>
      <c r="I550" s="69"/>
      <c r="L550" s="69"/>
      <c r="O550" s="69"/>
      <c r="R550" s="69"/>
    </row>
    <row r="551" spans="3:18" ht="16.5">
      <c r="C551" s="69"/>
      <c r="F551" s="69"/>
      <c r="I551" s="69"/>
      <c r="L551" s="69"/>
      <c r="O551" s="69"/>
      <c r="R551" s="69"/>
    </row>
    <row r="552" spans="3:18" ht="16.5">
      <c r="C552" s="69"/>
      <c r="F552" s="69"/>
      <c r="I552" s="69"/>
      <c r="L552" s="69"/>
      <c r="O552" s="69"/>
      <c r="R552" s="69"/>
    </row>
    <row r="553" spans="3:18" ht="16.5">
      <c r="C553" s="69"/>
      <c r="F553" s="69"/>
      <c r="I553" s="69"/>
      <c r="L553" s="69"/>
      <c r="O553" s="69"/>
      <c r="R553" s="69"/>
    </row>
    <row r="554" spans="3:18" ht="16.5">
      <c r="C554" s="69"/>
      <c r="F554" s="69"/>
      <c r="I554" s="69"/>
      <c r="L554" s="69"/>
      <c r="O554" s="69"/>
      <c r="R554" s="69"/>
    </row>
    <row r="555" spans="3:18" ht="16.5">
      <c r="C555" s="69"/>
      <c r="F555" s="69"/>
      <c r="I555" s="69"/>
      <c r="L555" s="69"/>
      <c r="O555" s="69"/>
      <c r="R555" s="69"/>
    </row>
    <row r="556" spans="3:18" ht="16.5">
      <c r="C556" s="69"/>
      <c r="F556" s="69"/>
      <c r="I556" s="69"/>
      <c r="L556" s="69"/>
      <c r="O556" s="69"/>
      <c r="R556" s="69"/>
    </row>
    <row r="557" spans="3:18" ht="16.5">
      <c r="C557" s="69"/>
      <c r="F557" s="69"/>
      <c r="I557" s="69"/>
      <c r="L557" s="69"/>
      <c r="O557" s="69"/>
      <c r="R557" s="69"/>
    </row>
    <row r="558" spans="3:18" ht="16.5">
      <c r="C558" s="69"/>
      <c r="F558" s="69"/>
      <c r="I558" s="69"/>
      <c r="L558" s="69"/>
      <c r="O558" s="69"/>
      <c r="R558" s="69"/>
    </row>
    <row r="559" spans="3:18" ht="16.5">
      <c r="C559" s="69"/>
      <c r="F559" s="69"/>
      <c r="I559" s="69"/>
      <c r="L559" s="69"/>
      <c r="O559" s="69"/>
      <c r="R559" s="69"/>
    </row>
    <row r="560" spans="3:18" ht="16.5">
      <c r="C560" s="69"/>
      <c r="F560" s="69"/>
      <c r="I560" s="69"/>
      <c r="L560" s="69"/>
      <c r="O560" s="69"/>
      <c r="R560" s="69"/>
    </row>
    <row r="561" spans="3:18" ht="16.5">
      <c r="C561" s="69"/>
      <c r="F561" s="69"/>
      <c r="I561" s="69"/>
      <c r="L561" s="69"/>
      <c r="O561" s="69"/>
      <c r="R561" s="69"/>
    </row>
    <row r="562" spans="3:18" ht="16.5">
      <c r="C562" s="69"/>
      <c r="F562" s="69"/>
      <c r="I562" s="69"/>
      <c r="L562" s="69"/>
      <c r="O562" s="69"/>
      <c r="R562" s="69"/>
    </row>
    <row r="563" spans="3:18" ht="16.5">
      <c r="C563" s="69"/>
      <c r="F563" s="69"/>
      <c r="I563" s="69"/>
      <c r="L563" s="69"/>
      <c r="O563" s="69"/>
      <c r="R563" s="69"/>
    </row>
    <row r="564" spans="3:18" ht="16.5">
      <c r="C564" s="69"/>
      <c r="F564" s="69"/>
      <c r="I564" s="69"/>
      <c r="L564" s="69"/>
      <c r="O564" s="69"/>
      <c r="R564" s="69"/>
    </row>
    <row r="565" spans="3:18" ht="16.5">
      <c r="C565" s="69"/>
      <c r="F565" s="69"/>
      <c r="I565" s="69"/>
      <c r="L565" s="69"/>
      <c r="O565" s="69"/>
      <c r="R565" s="69"/>
    </row>
    <row r="566" spans="3:18" ht="16.5">
      <c r="C566" s="69"/>
      <c r="F566" s="69"/>
      <c r="I566" s="69"/>
      <c r="L566" s="69"/>
      <c r="O566" s="69"/>
      <c r="R566" s="69"/>
    </row>
    <row r="567" spans="3:18" ht="16.5">
      <c r="C567" s="69"/>
      <c r="F567" s="69"/>
      <c r="I567" s="69"/>
      <c r="L567" s="69"/>
      <c r="O567" s="69"/>
      <c r="R567" s="69"/>
    </row>
    <row r="568" spans="3:18" ht="16.5">
      <c r="C568" s="69"/>
      <c r="F568" s="69"/>
      <c r="I568" s="69"/>
      <c r="L568" s="69"/>
      <c r="O568" s="69"/>
      <c r="R568" s="69"/>
    </row>
    <row r="569" spans="3:18" ht="16.5">
      <c r="C569" s="69"/>
      <c r="F569" s="69"/>
      <c r="I569" s="69"/>
      <c r="L569" s="69"/>
      <c r="O569" s="69"/>
      <c r="R569" s="69"/>
    </row>
    <row r="570" spans="3:18" ht="16.5">
      <c r="C570" s="69"/>
      <c r="F570" s="69"/>
      <c r="I570" s="69"/>
      <c r="L570" s="69"/>
      <c r="O570" s="69"/>
      <c r="R570" s="69"/>
    </row>
    <row r="571" spans="3:18" ht="16.5">
      <c r="C571" s="69"/>
      <c r="F571" s="69"/>
      <c r="I571" s="69"/>
      <c r="L571" s="69"/>
      <c r="O571" s="69"/>
      <c r="R571" s="69"/>
    </row>
    <row r="572" spans="3:18" ht="16.5">
      <c r="C572" s="69"/>
      <c r="F572" s="69"/>
      <c r="I572" s="69"/>
      <c r="L572" s="69"/>
      <c r="O572" s="69"/>
      <c r="R572" s="69"/>
    </row>
    <row r="573" spans="3:18" ht="16.5">
      <c r="C573" s="69"/>
      <c r="F573" s="69"/>
      <c r="I573" s="69"/>
      <c r="L573" s="69"/>
      <c r="O573" s="69"/>
      <c r="R573" s="69"/>
    </row>
    <row r="574" spans="3:18" ht="16.5">
      <c r="C574" s="69"/>
      <c r="F574" s="69"/>
      <c r="I574" s="69"/>
      <c r="L574" s="69"/>
      <c r="O574" s="69"/>
      <c r="R574" s="69"/>
    </row>
    <row r="575" spans="3:18" ht="16.5">
      <c r="C575" s="69"/>
      <c r="F575" s="69"/>
      <c r="I575" s="69"/>
      <c r="L575" s="69"/>
      <c r="O575" s="69"/>
      <c r="R575" s="69"/>
    </row>
    <row r="576" spans="3:18" ht="16.5">
      <c r="C576" s="69"/>
      <c r="F576" s="69"/>
      <c r="I576" s="69"/>
      <c r="L576" s="69"/>
      <c r="O576" s="69"/>
      <c r="R576" s="69"/>
    </row>
    <row r="577" spans="3:18" ht="16.5">
      <c r="C577" s="69"/>
      <c r="F577" s="69"/>
      <c r="I577" s="69"/>
      <c r="L577" s="69"/>
      <c r="O577" s="69"/>
      <c r="R577" s="69"/>
    </row>
    <row r="578" spans="3:18" ht="16.5">
      <c r="C578" s="69"/>
      <c r="F578" s="69"/>
      <c r="I578" s="69"/>
      <c r="L578" s="69"/>
      <c r="O578" s="69"/>
      <c r="R578" s="69"/>
    </row>
    <row r="579" spans="3:18" ht="16.5">
      <c r="C579" s="69"/>
      <c r="F579" s="69"/>
      <c r="I579" s="69"/>
      <c r="L579" s="69"/>
      <c r="O579" s="69"/>
      <c r="R579" s="69"/>
    </row>
    <row r="580" spans="3:18" ht="16.5">
      <c r="C580" s="69"/>
      <c r="F580" s="69"/>
      <c r="I580" s="69"/>
      <c r="L580" s="69"/>
      <c r="O580" s="69"/>
      <c r="R580" s="69"/>
    </row>
    <row r="581" spans="3:18" ht="16.5">
      <c r="C581" s="69"/>
      <c r="F581" s="69"/>
      <c r="I581" s="69"/>
      <c r="L581" s="69"/>
      <c r="O581" s="69"/>
      <c r="R581" s="69"/>
    </row>
    <row r="582" spans="3:18" ht="16.5">
      <c r="C582" s="69"/>
      <c r="F582" s="69"/>
      <c r="I582" s="69"/>
      <c r="L582" s="69"/>
      <c r="O582" s="69"/>
      <c r="R582" s="69"/>
    </row>
    <row r="583" spans="3:18" ht="16.5">
      <c r="C583" s="69"/>
      <c r="F583" s="69"/>
      <c r="I583" s="69"/>
      <c r="L583" s="69"/>
      <c r="O583" s="69"/>
      <c r="R583" s="69"/>
    </row>
    <row r="584" spans="3:18" ht="16.5">
      <c r="C584" s="69"/>
      <c r="F584" s="69"/>
      <c r="I584" s="69"/>
      <c r="L584" s="69"/>
      <c r="O584" s="69"/>
      <c r="R584" s="69"/>
    </row>
    <row r="585" spans="3:18" ht="16.5">
      <c r="C585" s="69"/>
      <c r="F585" s="69"/>
      <c r="I585" s="69"/>
      <c r="L585" s="69"/>
      <c r="O585" s="69"/>
      <c r="R585" s="69"/>
    </row>
    <row r="586" spans="3:18" ht="16.5">
      <c r="C586" s="69"/>
      <c r="F586" s="69"/>
      <c r="I586" s="69"/>
      <c r="L586" s="69"/>
      <c r="O586" s="69"/>
      <c r="R586" s="69"/>
    </row>
    <row r="587" spans="3:18" ht="16.5">
      <c r="C587" s="69"/>
      <c r="F587" s="69"/>
      <c r="I587" s="69"/>
      <c r="L587" s="69"/>
      <c r="O587" s="69"/>
      <c r="R587" s="69"/>
    </row>
    <row r="588" spans="3:18" ht="16.5">
      <c r="C588" s="69"/>
      <c r="F588" s="69"/>
      <c r="I588" s="69"/>
      <c r="L588" s="69"/>
      <c r="O588" s="69"/>
      <c r="R588" s="69"/>
    </row>
    <row r="589" spans="3:18" ht="16.5">
      <c r="C589" s="69"/>
      <c r="F589" s="69"/>
      <c r="I589" s="69"/>
      <c r="L589" s="69"/>
      <c r="O589" s="69"/>
      <c r="R589" s="69"/>
    </row>
    <row r="590" spans="3:18" ht="16.5">
      <c r="C590" s="69"/>
      <c r="F590" s="69"/>
      <c r="I590" s="69"/>
      <c r="L590" s="69"/>
      <c r="O590" s="69"/>
      <c r="R590" s="69"/>
    </row>
    <row r="591" spans="3:18" ht="16.5">
      <c r="C591" s="69"/>
      <c r="F591" s="69"/>
      <c r="I591" s="69"/>
      <c r="L591" s="69"/>
      <c r="O591" s="69"/>
      <c r="R591" s="69"/>
    </row>
    <row r="592" spans="3:18" ht="16.5">
      <c r="C592" s="69"/>
      <c r="F592" s="69"/>
      <c r="I592" s="69"/>
      <c r="L592" s="69"/>
      <c r="O592" s="69"/>
      <c r="R592" s="69"/>
    </row>
    <row r="593" spans="3:18" ht="16.5">
      <c r="C593" s="69"/>
      <c r="F593" s="69"/>
      <c r="I593" s="69"/>
      <c r="L593" s="69"/>
      <c r="O593" s="69"/>
      <c r="R593" s="69"/>
    </row>
    <row r="594" spans="3:18" ht="16.5">
      <c r="C594" s="69"/>
      <c r="F594" s="69"/>
      <c r="I594" s="69"/>
      <c r="L594" s="69"/>
      <c r="O594" s="69"/>
      <c r="R594" s="69"/>
    </row>
    <row r="595" spans="3:18" ht="16.5">
      <c r="C595" s="69"/>
      <c r="F595" s="69"/>
      <c r="I595" s="69"/>
      <c r="L595" s="69"/>
      <c r="O595" s="69"/>
      <c r="R595" s="69"/>
    </row>
    <row r="596" spans="3:18" ht="16.5">
      <c r="C596" s="69"/>
      <c r="F596" s="69"/>
      <c r="I596" s="69"/>
      <c r="L596" s="69"/>
      <c r="O596" s="69"/>
      <c r="R596" s="69"/>
    </row>
    <row r="597" spans="3:18" ht="16.5">
      <c r="C597" s="69"/>
      <c r="F597" s="69"/>
      <c r="I597" s="69"/>
      <c r="L597" s="69"/>
      <c r="O597" s="69"/>
      <c r="R597" s="69"/>
    </row>
    <row r="598" spans="3:18" ht="16.5">
      <c r="C598" s="69"/>
      <c r="F598" s="69"/>
      <c r="I598" s="69"/>
      <c r="L598" s="69"/>
      <c r="O598" s="69"/>
      <c r="R598" s="69"/>
    </row>
    <row r="599" spans="3:18" ht="16.5">
      <c r="C599" s="69"/>
      <c r="F599" s="69"/>
      <c r="I599" s="69"/>
      <c r="L599" s="69"/>
      <c r="O599" s="69"/>
      <c r="R599" s="69"/>
    </row>
    <row r="600" spans="3:18" ht="16.5">
      <c r="C600" s="69"/>
      <c r="F600" s="69"/>
      <c r="I600" s="69"/>
      <c r="L600" s="69"/>
      <c r="O600" s="69"/>
      <c r="R600" s="69"/>
    </row>
    <row r="601" spans="3:18" ht="16.5">
      <c r="C601" s="69"/>
      <c r="F601" s="69"/>
      <c r="I601" s="69"/>
      <c r="L601" s="69"/>
      <c r="O601" s="69"/>
      <c r="R601" s="69"/>
    </row>
    <row r="602" spans="3:18" ht="16.5">
      <c r="C602" s="69"/>
      <c r="F602" s="69"/>
      <c r="I602" s="69"/>
      <c r="L602" s="69"/>
      <c r="O602" s="69"/>
      <c r="R602" s="69"/>
    </row>
    <row r="603" spans="3:18" ht="16.5">
      <c r="C603" s="69"/>
      <c r="F603" s="69"/>
      <c r="I603" s="69"/>
      <c r="L603" s="69"/>
      <c r="O603" s="69"/>
      <c r="R603" s="69"/>
    </row>
    <row r="604" spans="3:18" ht="16.5">
      <c r="C604" s="69"/>
      <c r="F604" s="69"/>
      <c r="I604" s="69"/>
      <c r="L604" s="69"/>
      <c r="O604" s="69"/>
      <c r="R604" s="69"/>
    </row>
    <row r="605" spans="3:18" ht="16.5">
      <c r="C605" s="69"/>
      <c r="F605" s="69"/>
      <c r="I605" s="69"/>
      <c r="L605" s="69"/>
      <c r="O605" s="69"/>
      <c r="R605" s="69"/>
    </row>
    <row r="606" spans="3:18" ht="16.5">
      <c r="C606" s="69"/>
      <c r="F606" s="69"/>
      <c r="I606" s="69"/>
      <c r="L606" s="69"/>
      <c r="O606" s="69"/>
      <c r="R606" s="69"/>
    </row>
    <row r="607" spans="3:18" ht="16.5">
      <c r="C607" s="69"/>
      <c r="F607" s="69"/>
      <c r="I607" s="69"/>
      <c r="L607" s="69"/>
      <c r="O607" s="69"/>
      <c r="R607" s="69"/>
    </row>
    <row r="608" spans="3:18" ht="16.5">
      <c r="C608" s="69"/>
      <c r="F608" s="69"/>
      <c r="I608" s="69"/>
      <c r="L608" s="69"/>
      <c r="O608" s="69"/>
      <c r="R608" s="69"/>
    </row>
    <row r="609" spans="3:18" ht="16.5">
      <c r="C609" s="69"/>
      <c r="F609" s="69"/>
      <c r="I609" s="69"/>
      <c r="L609" s="69"/>
      <c r="O609" s="69"/>
      <c r="R609" s="69"/>
    </row>
    <row r="610" spans="3:18" ht="16.5">
      <c r="C610" s="69"/>
      <c r="F610" s="69"/>
      <c r="I610" s="69"/>
      <c r="L610" s="69"/>
      <c r="O610" s="69"/>
      <c r="R610" s="69"/>
    </row>
    <row r="611" spans="3:18" ht="16.5">
      <c r="C611" s="69"/>
      <c r="F611" s="69"/>
      <c r="I611" s="69"/>
      <c r="L611" s="69"/>
      <c r="O611" s="69"/>
      <c r="R611" s="69"/>
    </row>
    <row r="612" spans="3:18" ht="16.5">
      <c r="C612" s="69"/>
      <c r="F612" s="69"/>
      <c r="I612" s="69"/>
      <c r="L612" s="69"/>
      <c r="O612" s="69"/>
      <c r="R612" s="69"/>
    </row>
    <row r="613" spans="3:18" ht="16.5">
      <c r="C613" s="69"/>
      <c r="F613" s="69"/>
      <c r="I613" s="69"/>
      <c r="L613" s="69"/>
      <c r="O613" s="69"/>
      <c r="R613" s="69"/>
    </row>
    <row r="614" spans="3:18" ht="16.5">
      <c r="C614" s="69"/>
      <c r="F614" s="69"/>
      <c r="I614" s="69"/>
      <c r="L614" s="69"/>
      <c r="O614" s="69"/>
      <c r="R614" s="69"/>
    </row>
    <row r="615" spans="3:18" ht="16.5">
      <c r="C615" s="69"/>
      <c r="F615" s="69"/>
      <c r="I615" s="69"/>
      <c r="L615" s="69"/>
      <c r="O615" s="69"/>
      <c r="R615" s="69"/>
    </row>
    <row r="616" spans="3:18" ht="16.5">
      <c r="C616" s="69"/>
      <c r="F616" s="69"/>
      <c r="I616" s="69"/>
      <c r="L616" s="69"/>
      <c r="O616" s="69"/>
      <c r="R616" s="69"/>
    </row>
    <row r="617" spans="3:18" ht="16.5">
      <c r="C617" s="69"/>
      <c r="F617" s="69"/>
      <c r="I617" s="69"/>
      <c r="L617" s="69"/>
      <c r="O617" s="69"/>
      <c r="R617" s="69"/>
    </row>
    <row r="618" spans="3:18" ht="16.5">
      <c r="C618" s="69"/>
      <c r="F618" s="69"/>
      <c r="I618" s="69"/>
      <c r="L618" s="69"/>
      <c r="O618" s="69"/>
      <c r="R618" s="69"/>
    </row>
    <row r="619" spans="3:18" ht="16.5">
      <c r="C619" s="69"/>
      <c r="F619" s="69"/>
      <c r="I619" s="69"/>
      <c r="L619" s="69"/>
      <c r="O619" s="69"/>
      <c r="R619" s="69"/>
    </row>
    <row r="620" spans="3:18" ht="16.5">
      <c r="C620" s="69"/>
      <c r="F620" s="69"/>
      <c r="I620" s="69"/>
      <c r="L620" s="69"/>
      <c r="O620" s="69"/>
      <c r="R620" s="69"/>
    </row>
    <row r="621" spans="3:18" ht="16.5">
      <c r="C621" s="69"/>
      <c r="F621" s="69"/>
      <c r="I621" s="69"/>
      <c r="L621" s="69"/>
      <c r="O621" s="69"/>
      <c r="R621" s="69"/>
    </row>
    <row r="622" spans="3:18" ht="16.5">
      <c r="C622" s="69"/>
      <c r="F622" s="69"/>
      <c r="I622" s="69"/>
      <c r="L622" s="69"/>
      <c r="O622" s="69"/>
      <c r="R622" s="69"/>
    </row>
    <row r="623" spans="3:18" ht="16.5">
      <c r="C623" s="69"/>
      <c r="F623" s="69"/>
      <c r="I623" s="69"/>
      <c r="L623" s="69"/>
      <c r="O623" s="69"/>
      <c r="R623" s="69"/>
    </row>
    <row r="624" spans="3:18" ht="16.5">
      <c r="C624" s="69"/>
      <c r="F624" s="69"/>
      <c r="I624" s="69"/>
      <c r="L624" s="69"/>
      <c r="O624" s="69"/>
      <c r="R624" s="69"/>
    </row>
    <row r="625" spans="3:18" ht="16.5">
      <c r="C625" s="69"/>
      <c r="F625" s="69"/>
      <c r="I625" s="69"/>
      <c r="L625" s="69"/>
      <c r="O625" s="69"/>
      <c r="R625" s="69"/>
    </row>
    <row r="626" spans="3:18" ht="16.5">
      <c r="C626" s="69"/>
      <c r="F626" s="69"/>
      <c r="I626" s="69"/>
      <c r="L626" s="69"/>
      <c r="O626" s="69"/>
      <c r="R626" s="69"/>
    </row>
    <row r="627" spans="3:18" ht="16.5">
      <c r="C627" s="69"/>
      <c r="F627" s="69"/>
      <c r="I627" s="69"/>
      <c r="L627" s="69"/>
      <c r="O627" s="69"/>
      <c r="R627" s="69"/>
    </row>
    <row r="628" spans="3:18" ht="16.5">
      <c r="C628" s="69"/>
      <c r="F628" s="69"/>
      <c r="I628" s="69"/>
      <c r="L628" s="69"/>
      <c r="O628" s="69"/>
      <c r="R628" s="69"/>
    </row>
    <row r="629" spans="3:18" ht="16.5">
      <c r="C629" s="69"/>
      <c r="F629" s="69"/>
      <c r="I629" s="69"/>
      <c r="L629" s="69"/>
      <c r="O629" s="69"/>
      <c r="R629" s="69"/>
    </row>
    <row r="630" spans="3:18" ht="16.5">
      <c r="C630" s="69"/>
      <c r="F630" s="69"/>
      <c r="I630" s="69"/>
      <c r="L630" s="69"/>
      <c r="O630" s="69"/>
      <c r="R630" s="69"/>
    </row>
    <row r="631" spans="3:18" ht="16.5">
      <c r="C631" s="69"/>
      <c r="F631" s="69"/>
      <c r="I631" s="69"/>
      <c r="L631" s="69"/>
      <c r="O631" s="69"/>
      <c r="R631" s="69"/>
    </row>
    <row r="632" spans="3:18" ht="16.5">
      <c r="C632" s="69"/>
      <c r="F632" s="69"/>
      <c r="I632" s="69"/>
      <c r="L632" s="69"/>
      <c r="O632" s="69"/>
      <c r="R632" s="69"/>
    </row>
    <row r="633" spans="3:18" ht="16.5">
      <c r="C633" s="69"/>
      <c r="F633" s="69"/>
      <c r="I633" s="69"/>
      <c r="L633" s="69"/>
      <c r="O633" s="69"/>
      <c r="R633" s="69"/>
    </row>
    <row r="634" spans="3:18" ht="16.5">
      <c r="C634" s="69"/>
      <c r="F634" s="69"/>
      <c r="I634" s="69"/>
      <c r="L634" s="69"/>
      <c r="O634" s="69"/>
      <c r="R634" s="69"/>
    </row>
    <row r="635" spans="3:18" ht="16.5">
      <c r="C635" s="69"/>
      <c r="F635" s="69"/>
      <c r="I635" s="69"/>
      <c r="L635" s="69"/>
      <c r="O635" s="69"/>
      <c r="R635" s="69"/>
    </row>
    <row r="636" spans="3:18" ht="16.5">
      <c r="C636" s="69"/>
      <c r="F636" s="69"/>
      <c r="I636" s="69"/>
      <c r="L636" s="69"/>
      <c r="O636" s="69"/>
      <c r="R636" s="69"/>
    </row>
    <row r="637" spans="3:18" ht="16.5">
      <c r="C637" s="69"/>
      <c r="F637" s="69"/>
      <c r="I637" s="69"/>
      <c r="L637" s="69"/>
      <c r="O637" s="69"/>
      <c r="R637" s="69"/>
    </row>
    <row r="638" spans="3:18" ht="16.5">
      <c r="C638" s="69"/>
      <c r="F638" s="69"/>
      <c r="I638" s="69"/>
      <c r="L638" s="69"/>
      <c r="O638" s="69"/>
      <c r="R638" s="69"/>
    </row>
    <row r="639" spans="3:18" ht="16.5">
      <c r="C639" s="69"/>
      <c r="F639" s="69"/>
      <c r="I639" s="69"/>
      <c r="L639" s="69"/>
      <c r="O639" s="69"/>
      <c r="R639" s="69"/>
    </row>
    <row r="640" spans="3:18" ht="16.5">
      <c r="C640" s="69"/>
      <c r="F640" s="69"/>
      <c r="I640" s="69"/>
      <c r="L640" s="69"/>
      <c r="O640" s="69"/>
      <c r="R640" s="69"/>
    </row>
    <row r="641" spans="3:18" ht="16.5">
      <c r="C641" s="69"/>
      <c r="F641" s="69"/>
      <c r="I641" s="69"/>
      <c r="L641" s="69"/>
      <c r="O641" s="69"/>
      <c r="R641" s="69"/>
    </row>
    <row r="642" spans="3:18" ht="16.5">
      <c r="C642" s="69"/>
      <c r="F642" s="69"/>
      <c r="I642" s="69"/>
      <c r="L642" s="69"/>
      <c r="O642" s="69"/>
      <c r="R642" s="69"/>
    </row>
    <row r="643" spans="3:18" ht="16.5">
      <c r="C643" s="69"/>
      <c r="F643" s="69"/>
      <c r="I643" s="69"/>
      <c r="L643" s="69"/>
      <c r="O643" s="69"/>
      <c r="R643" s="69"/>
    </row>
    <row r="644" spans="3:18" ht="16.5">
      <c r="C644" s="69"/>
      <c r="F644" s="69"/>
      <c r="I644" s="69"/>
      <c r="L644" s="69"/>
      <c r="O644" s="69"/>
      <c r="R644" s="69"/>
    </row>
    <row r="645" spans="3:18" ht="16.5">
      <c r="C645" s="69"/>
      <c r="F645" s="69"/>
      <c r="I645" s="69"/>
      <c r="L645" s="69"/>
      <c r="O645" s="69"/>
      <c r="R645" s="69"/>
    </row>
    <row r="646" spans="3:18" ht="16.5">
      <c r="C646" s="69"/>
      <c r="F646" s="69"/>
      <c r="I646" s="69"/>
      <c r="L646" s="69"/>
      <c r="O646" s="69"/>
      <c r="R646" s="69"/>
    </row>
    <row r="647" spans="3:18" ht="16.5">
      <c r="C647" s="69"/>
      <c r="F647" s="69"/>
      <c r="I647" s="69"/>
      <c r="L647" s="69"/>
      <c r="O647" s="69"/>
      <c r="R647" s="69"/>
    </row>
    <row r="648" spans="3:18" ht="16.5">
      <c r="C648" s="69"/>
      <c r="F648" s="69"/>
      <c r="I648" s="69"/>
      <c r="L648" s="69"/>
      <c r="O648" s="69"/>
      <c r="R648" s="69"/>
    </row>
    <row r="649" spans="3:18" ht="16.5">
      <c r="C649" s="69"/>
      <c r="F649" s="69"/>
      <c r="I649" s="69"/>
      <c r="L649" s="69"/>
      <c r="O649" s="69"/>
      <c r="R649" s="69"/>
    </row>
    <row r="650" spans="3:18" ht="16.5">
      <c r="C650" s="69"/>
      <c r="F650" s="69"/>
      <c r="I650" s="69"/>
      <c r="L650" s="69"/>
      <c r="O650" s="69"/>
      <c r="R650" s="69"/>
    </row>
    <row r="651" spans="3:18" ht="16.5">
      <c r="C651" s="69"/>
      <c r="F651" s="69"/>
      <c r="I651" s="69"/>
      <c r="L651" s="69"/>
      <c r="O651" s="69"/>
      <c r="R651" s="69"/>
    </row>
    <row r="652" spans="3:18" ht="16.5">
      <c r="C652" s="69"/>
      <c r="F652" s="69"/>
      <c r="I652" s="69"/>
      <c r="L652" s="69"/>
      <c r="O652" s="69"/>
      <c r="R652" s="69"/>
    </row>
    <row r="653" spans="3:18" ht="16.5">
      <c r="C653" s="69"/>
      <c r="F653" s="69"/>
      <c r="I653" s="69"/>
      <c r="L653" s="69"/>
      <c r="O653" s="69"/>
      <c r="R653" s="69"/>
    </row>
    <row r="654" spans="3:18" ht="16.5">
      <c r="C654" s="69"/>
      <c r="F654" s="69"/>
      <c r="I654" s="69"/>
      <c r="L654" s="69"/>
      <c r="O654" s="69"/>
      <c r="R654" s="69"/>
    </row>
    <row r="655" spans="3:18" ht="16.5">
      <c r="C655" s="69"/>
      <c r="F655" s="69"/>
      <c r="I655" s="69"/>
      <c r="L655" s="69"/>
      <c r="O655" s="69"/>
      <c r="R655" s="69"/>
    </row>
    <row r="656" spans="3:18" ht="16.5">
      <c r="C656" s="69"/>
      <c r="F656" s="69"/>
      <c r="I656" s="69"/>
      <c r="L656" s="69"/>
      <c r="O656" s="69"/>
      <c r="R656" s="69"/>
    </row>
    <row r="657" spans="3:18" ht="16.5">
      <c r="C657" s="69"/>
      <c r="F657" s="69"/>
      <c r="I657" s="69"/>
      <c r="L657" s="69"/>
      <c r="O657" s="69"/>
      <c r="R657" s="69"/>
    </row>
    <row r="658" spans="3:18" ht="16.5">
      <c r="C658" s="69"/>
      <c r="F658" s="69"/>
      <c r="I658" s="69"/>
      <c r="L658" s="69"/>
      <c r="O658" s="69"/>
      <c r="R658" s="69"/>
    </row>
    <row r="659" spans="3:18" ht="16.5">
      <c r="C659" s="69"/>
      <c r="F659" s="69"/>
      <c r="I659" s="69"/>
      <c r="L659" s="69"/>
      <c r="O659" s="69"/>
      <c r="R659" s="69"/>
    </row>
    <row r="660" spans="3:18" ht="16.5">
      <c r="C660" s="69"/>
      <c r="F660" s="69"/>
      <c r="I660" s="69"/>
      <c r="L660" s="69"/>
      <c r="O660" s="69"/>
      <c r="R660" s="69"/>
    </row>
    <row r="661" spans="3:18" ht="16.5">
      <c r="C661" s="69"/>
      <c r="F661" s="69"/>
      <c r="I661" s="69"/>
      <c r="L661" s="69"/>
      <c r="O661" s="69"/>
      <c r="R661" s="69"/>
    </row>
    <row r="662" spans="3:18" ht="16.5">
      <c r="C662" s="69"/>
      <c r="F662" s="69"/>
      <c r="I662" s="69"/>
      <c r="L662" s="69"/>
      <c r="O662" s="69"/>
      <c r="R662" s="69"/>
    </row>
    <row r="663" spans="3:18" ht="16.5">
      <c r="C663" s="69"/>
      <c r="F663" s="69"/>
      <c r="I663" s="69"/>
      <c r="L663" s="69"/>
      <c r="O663" s="69"/>
      <c r="R663" s="69"/>
    </row>
    <row r="664" spans="3:18" ht="16.5">
      <c r="C664" s="69"/>
      <c r="F664" s="69"/>
      <c r="I664" s="69"/>
      <c r="L664" s="69"/>
      <c r="O664" s="69"/>
      <c r="R664" s="69"/>
    </row>
    <row r="665" spans="3:18" ht="16.5">
      <c r="C665" s="69"/>
      <c r="F665" s="69"/>
      <c r="I665" s="69"/>
      <c r="L665" s="69"/>
      <c r="O665" s="69"/>
      <c r="R665" s="69"/>
    </row>
    <row r="666" spans="3:18" ht="16.5">
      <c r="C666" s="69"/>
      <c r="F666" s="69"/>
      <c r="I666" s="69"/>
      <c r="L666" s="69"/>
      <c r="O666" s="69"/>
      <c r="R666" s="69"/>
    </row>
    <row r="667" spans="3:18" ht="16.5">
      <c r="C667" s="69"/>
      <c r="F667" s="69"/>
      <c r="I667" s="69"/>
      <c r="L667" s="69"/>
      <c r="O667" s="69"/>
      <c r="R667" s="69"/>
    </row>
    <row r="668" spans="3:18" ht="16.5">
      <c r="C668" s="69"/>
      <c r="F668" s="69"/>
      <c r="I668" s="69"/>
      <c r="L668" s="69"/>
      <c r="O668" s="69"/>
      <c r="R668" s="69"/>
    </row>
    <row r="669" spans="3:18" ht="16.5">
      <c r="C669" s="69"/>
      <c r="F669" s="69"/>
      <c r="I669" s="69"/>
      <c r="L669" s="69"/>
      <c r="O669" s="69"/>
      <c r="R669" s="69"/>
    </row>
    <row r="670" spans="3:18" ht="16.5">
      <c r="C670" s="69"/>
      <c r="F670" s="69"/>
      <c r="I670" s="69"/>
      <c r="L670" s="69"/>
      <c r="O670" s="69"/>
      <c r="R670" s="69"/>
    </row>
    <row r="671" spans="3:18" ht="16.5">
      <c r="C671" s="69"/>
      <c r="F671" s="69"/>
      <c r="I671" s="69"/>
      <c r="L671" s="69"/>
      <c r="O671" s="69"/>
      <c r="R671" s="69"/>
    </row>
    <row r="672" spans="3:18" ht="16.5">
      <c r="C672" s="69"/>
      <c r="F672" s="69"/>
      <c r="I672" s="69"/>
      <c r="L672" s="69"/>
      <c r="O672" s="69"/>
      <c r="R672" s="69"/>
    </row>
    <row r="673" spans="3:18" ht="16.5">
      <c r="C673" s="69"/>
      <c r="F673" s="69"/>
      <c r="I673" s="69"/>
      <c r="L673" s="69"/>
      <c r="O673" s="69"/>
      <c r="R673" s="69"/>
    </row>
    <row r="674" spans="3:18" ht="16.5">
      <c r="C674" s="69"/>
      <c r="F674" s="69"/>
      <c r="I674" s="69"/>
      <c r="L674" s="69"/>
      <c r="O674" s="69"/>
      <c r="R674" s="69"/>
    </row>
    <row r="675" spans="3:18" ht="16.5">
      <c r="C675" s="69"/>
      <c r="F675" s="69"/>
      <c r="I675" s="69"/>
      <c r="L675" s="69"/>
      <c r="O675" s="69"/>
      <c r="R675" s="69"/>
    </row>
    <row r="676" spans="3:18" ht="16.5">
      <c r="C676" s="69"/>
      <c r="F676" s="69"/>
      <c r="I676" s="69"/>
      <c r="L676" s="69"/>
      <c r="O676" s="69"/>
      <c r="R676" s="69"/>
    </row>
    <row r="677" spans="3:18" ht="16.5">
      <c r="C677" s="69"/>
      <c r="F677" s="69"/>
      <c r="I677" s="69"/>
      <c r="L677" s="69"/>
      <c r="O677" s="69"/>
      <c r="R677" s="69"/>
    </row>
    <row r="678" spans="3:18" ht="16.5">
      <c r="C678" s="69"/>
      <c r="F678" s="69"/>
      <c r="I678" s="69"/>
      <c r="L678" s="69"/>
      <c r="O678" s="69"/>
      <c r="R678" s="69"/>
    </row>
    <row r="679" spans="3:18" ht="16.5">
      <c r="C679" s="69"/>
      <c r="F679" s="69"/>
      <c r="I679" s="69"/>
      <c r="L679" s="69"/>
      <c r="O679" s="69"/>
      <c r="R679" s="69"/>
    </row>
    <row r="680" spans="3:18" ht="16.5">
      <c r="C680" s="69"/>
      <c r="F680" s="69"/>
      <c r="I680" s="69"/>
      <c r="L680" s="69"/>
      <c r="O680" s="69"/>
      <c r="R680" s="69"/>
    </row>
    <row r="681" spans="3:18" ht="16.5">
      <c r="C681" s="69"/>
      <c r="F681" s="69"/>
      <c r="I681" s="69"/>
      <c r="L681" s="69"/>
      <c r="O681" s="69"/>
      <c r="R681" s="69"/>
    </row>
    <row r="682" spans="3:18" ht="16.5">
      <c r="C682" s="69"/>
      <c r="F682" s="69"/>
      <c r="I682" s="69"/>
      <c r="L682" s="69"/>
      <c r="O682" s="69"/>
      <c r="R682" s="69"/>
    </row>
    <row r="683" spans="3:18" ht="16.5">
      <c r="C683" s="69"/>
      <c r="F683" s="69"/>
      <c r="I683" s="69"/>
      <c r="L683" s="69"/>
      <c r="O683" s="69"/>
      <c r="R683" s="69"/>
    </row>
    <row r="684" spans="3:18" ht="16.5">
      <c r="C684" s="69"/>
      <c r="F684" s="69"/>
      <c r="I684" s="69"/>
      <c r="L684" s="69"/>
      <c r="O684" s="69"/>
      <c r="R684" s="69"/>
    </row>
    <row r="685" spans="3:18" ht="16.5">
      <c r="C685" s="69"/>
      <c r="F685" s="69"/>
      <c r="I685" s="69"/>
      <c r="L685" s="69"/>
      <c r="O685" s="69"/>
      <c r="R685" s="69"/>
    </row>
    <row r="686" spans="3:18" ht="16.5">
      <c r="C686" s="69"/>
      <c r="F686" s="69"/>
      <c r="I686" s="69"/>
      <c r="L686" s="69"/>
      <c r="O686" s="69"/>
      <c r="R686" s="69"/>
    </row>
    <row r="687" spans="3:18" ht="16.5">
      <c r="C687" s="69"/>
      <c r="F687" s="69"/>
      <c r="I687" s="69"/>
      <c r="L687" s="69"/>
      <c r="O687" s="69"/>
      <c r="R687" s="69"/>
    </row>
    <row r="688" spans="3:18" ht="16.5">
      <c r="C688" s="69"/>
      <c r="F688" s="69"/>
      <c r="I688" s="69"/>
      <c r="L688" s="69"/>
      <c r="O688" s="69"/>
      <c r="R688" s="69"/>
    </row>
    <row r="689" spans="3:18" ht="16.5">
      <c r="C689" s="69"/>
      <c r="F689" s="69"/>
      <c r="I689" s="69"/>
      <c r="L689" s="69"/>
      <c r="O689" s="69"/>
      <c r="R689" s="69"/>
    </row>
    <row r="690" spans="3:18" ht="16.5">
      <c r="C690" s="69"/>
      <c r="F690" s="69"/>
      <c r="I690" s="69"/>
      <c r="L690" s="69"/>
      <c r="O690" s="69"/>
      <c r="R690" s="69"/>
    </row>
    <row r="691" spans="3:18" ht="16.5">
      <c r="C691" s="69"/>
      <c r="F691" s="69"/>
      <c r="I691" s="69"/>
      <c r="L691" s="69"/>
      <c r="O691" s="69"/>
      <c r="R691" s="69"/>
    </row>
    <row r="692" spans="3:18" ht="16.5">
      <c r="C692" s="69"/>
      <c r="F692" s="69"/>
      <c r="I692" s="69"/>
      <c r="L692" s="69"/>
      <c r="O692" s="69"/>
      <c r="R692" s="69"/>
    </row>
    <row r="693" spans="3:18" ht="16.5">
      <c r="C693" s="69"/>
      <c r="F693" s="69"/>
      <c r="I693" s="69"/>
      <c r="L693" s="69"/>
      <c r="O693" s="69"/>
      <c r="R693" s="69"/>
    </row>
    <row r="694" spans="3:18" ht="16.5">
      <c r="C694" s="69"/>
      <c r="F694" s="69"/>
      <c r="I694" s="69"/>
      <c r="L694" s="69"/>
      <c r="O694" s="69"/>
      <c r="R694" s="69"/>
    </row>
    <row r="695" spans="3:18" ht="16.5">
      <c r="C695" s="69"/>
      <c r="F695" s="69"/>
      <c r="I695" s="69"/>
      <c r="L695" s="69"/>
      <c r="O695" s="69"/>
      <c r="R695" s="69"/>
    </row>
    <row r="696" spans="3:18" ht="16.5">
      <c r="C696" s="69"/>
      <c r="F696" s="69"/>
      <c r="I696" s="69"/>
      <c r="L696" s="69"/>
      <c r="O696" s="69"/>
      <c r="R696" s="69"/>
    </row>
    <row r="697" spans="3:18" ht="16.5">
      <c r="C697" s="69"/>
      <c r="F697" s="69"/>
      <c r="I697" s="69"/>
      <c r="L697" s="69"/>
      <c r="O697" s="69"/>
      <c r="R697" s="69"/>
    </row>
    <row r="698" spans="3:18" ht="16.5">
      <c r="C698" s="69"/>
      <c r="F698" s="69"/>
      <c r="I698" s="69"/>
      <c r="L698" s="69"/>
      <c r="O698" s="69"/>
      <c r="R698" s="69"/>
    </row>
    <row r="699" spans="3:18" ht="16.5">
      <c r="C699" s="69"/>
      <c r="F699" s="69"/>
      <c r="I699" s="69"/>
      <c r="L699" s="69"/>
      <c r="O699" s="69"/>
      <c r="R699" s="69"/>
    </row>
    <row r="700" spans="3:18" ht="16.5">
      <c r="C700" s="69"/>
      <c r="F700" s="69"/>
      <c r="I700" s="69"/>
      <c r="L700" s="69"/>
      <c r="O700" s="69"/>
      <c r="R700" s="69"/>
    </row>
    <row r="701" spans="3:18" ht="16.5">
      <c r="C701" s="69"/>
      <c r="F701" s="69"/>
      <c r="I701" s="69"/>
      <c r="L701" s="69"/>
      <c r="O701" s="69"/>
      <c r="R701" s="69"/>
    </row>
    <row r="702" spans="3:18" ht="16.5">
      <c r="C702" s="69"/>
      <c r="F702" s="69"/>
      <c r="I702" s="69"/>
      <c r="L702" s="69"/>
      <c r="O702" s="69"/>
      <c r="R702" s="69"/>
    </row>
    <row r="703" spans="3:18" ht="16.5">
      <c r="C703" s="69"/>
      <c r="F703" s="69"/>
      <c r="I703" s="69"/>
      <c r="L703" s="69"/>
      <c r="O703" s="69"/>
      <c r="R703" s="69"/>
    </row>
    <row r="704" spans="3:18" ht="16.5">
      <c r="C704" s="69"/>
      <c r="F704" s="69"/>
      <c r="I704" s="69"/>
      <c r="L704" s="69"/>
      <c r="O704" s="69"/>
      <c r="R704" s="69"/>
    </row>
    <row r="705" spans="3:18" ht="16.5">
      <c r="C705" s="69"/>
      <c r="F705" s="69"/>
      <c r="I705" s="69"/>
      <c r="L705" s="69"/>
      <c r="O705" s="69"/>
      <c r="R705" s="69"/>
    </row>
    <row r="706" spans="3:18" ht="16.5">
      <c r="C706" s="69"/>
      <c r="F706" s="69"/>
      <c r="I706" s="69"/>
      <c r="L706" s="69"/>
      <c r="O706" s="69"/>
      <c r="R706" s="69"/>
    </row>
    <row r="707" spans="3:18" ht="16.5">
      <c r="C707" s="69"/>
      <c r="F707" s="69"/>
      <c r="I707" s="69"/>
      <c r="L707" s="69"/>
      <c r="O707" s="69"/>
      <c r="R707" s="69"/>
    </row>
    <row r="708" spans="3:18" ht="16.5">
      <c r="C708" s="69"/>
      <c r="F708" s="69"/>
      <c r="I708" s="69"/>
      <c r="L708" s="69"/>
      <c r="O708" s="69"/>
      <c r="R708" s="69"/>
    </row>
    <row r="709" spans="3:18" ht="16.5">
      <c r="C709" s="69"/>
      <c r="F709" s="69"/>
      <c r="I709" s="69"/>
      <c r="L709" s="69"/>
      <c r="O709" s="69"/>
      <c r="R709" s="69"/>
    </row>
    <row r="710" spans="3:18" ht="16.5">
      <c r="C710" s="69"/>
      <c r="F710" s="69"/>
      <c r="I710" s="69"/>
      <c r="L710" s="69"/>
      <c r="O710" s="69"/>
      <c r="R710" s="69"/>
    </row>
    <row r="711" spans="3:18" ht="16.5">
      <c r="C711" s="69"/>
      <c r="F711" s="69"/>
      <c r="I711" s="69"/>
      <c r="L711" s="69"/>
      <c r="O711" s="69"/>
      <c r="R711" s="69"/>
    </row>
    <row r="712" spans="3:18" ht="16.5">
      <c r="C712" s="69"/>
      <c r="F712" s="69"/>
      <c r="I712" s="69"/>
      <c r="L712" s="69"/>
      <c r="O712" s="69"/>
      <c r="R712" s="69"/>
    </row>
    <row r="713" spans="3:18" ht="16.5">
      <c r="C713" s="69"/>
      <c r="F713" s="69"/>
      <c r="I713" s="69"/>
      <c r="L713" s="69"/>
      <c r="O713" s="69"/>
      <c r="R713" s="69"/>
    </row>
    <row r="714" spans="3:18" ht="16.5">
      <c r="C714" s="69"/>
      <c r="F714" s="69"/>
      <c r="I714" s="69"/>
      <c r="L714" s="69"/>
      <c r="O714" s="69"/>
      <c r="R714" s="69"/>
    </row>
    <row r="715" spans="3:18" ht="16.5">
      <c r="C715" s="69"/>
      <c r="F715" s="69"/>
      <c r="I715" s="69"/>
      <c r="L715" s="69"/>
      <c r="O715" s="69"/>
      <c r="R715" s="69"/>
    </row>
    <row r="716" spans="3:18" ht="16.5">
      <c r="C716" s="69"/>
      <c r="F716" s="69"/>
      <c r="I716" s="69"/>
      <c r="L716" s="69"/>
      <c r="O716" s="69"/>
      <c r="R716" s="69"/>
    </row>
    <row r="717" spans="3:18" ht="16.5">
      <c r="C717" s="69"/>
      <c r="F717" s="69"/>
      <c r="I717" s="69"/>
      <c r="L717" s="69"/>
      <c r="O717" s="69"/>
      <c r="R717" s="69"/>
    </row>
    <row r="718" spans="3:18" ht="16.5">
      <c r="C718" s="69"/>
      <c r="F718" s="69"/>
      <c r="I718" s="69"/>
      <c r="L718" s="69"/>
      <c r="O718" s="69"/>
      <c r="R718" s="69"/>
    </row>
    <row r="719" spans="3:18" ht="16.5">
      <c r="C719" s="69"/>
      <c r="F719" s="69"/>
      <c r="I719" s="69"/>
      <c r="L719" s="69"/>
      <c r="O719" s="69"/>
      <c r="R719" s="69"/>
    </row>
    <row r="720" spans="3:18" ht="16.5">
      <c r="C720" s="69"/>
      <c r="F720" s="69"/>
      <c r="I720" s="69"/>
      <c r="L720" s="69"/>
      <c r="O720" s="69"/>
      <c r="R720" s="69"/>
    </row>
    <row r="721" spans="3:18" ht="16.5">
      <c r="C721" s="69"/>
      <c r="F721" s="69"/>
      <c r="I721" s="69"/>
      <c r="L721" s="69"/>
      <c r="O721" s="69"/>
      <c r="R721" s="69"/>
    </row>
    <row r="722" spans="3:18" ht="16.5">
      <c r="C722" s="69"/>
      <c r="F722" s="69"/>
      <c r="I722" s="69"/>
      <c r="L722" s="69"/>
      <c r="O722" s="69"/>
      <c r="R722" s="69"/>
    </row>
    <row r="723" spans="3:18" ht="16.5">
      <c r="C723" s="69"/>
      <c r="F723" s="69"/>
      <c r="I723" s="69"/>
      <c r="L723" s="69"/>
      <c r="O723" s="69"/>
      <c r="R723" s="69"/>
    </row>
    <row r="724" spans="3:18" ht="16.5">
      <c r="C724" s="69"/>
      <c r="F724" s="69"/>
      <c r="I724" s="69"/>
      <c r="L724" s="69"/>
      <c r="O724" s="69"/>
      <c r="R724" s="69"/>
    </row>
    <row r="725" spans="3:18" ht="16.5">
      <c r="C725" s="69"/>
      <c r="F725" s="69"/>
      <c r="I725" s="69"/>
      <c r="L725" s="69"/>
      <c r="O725" s="69"/>
      <c r="R725" s="69"/>
    </row>
    <row r="726" spans="3:18" ht="16.5">
      <c r="C726" s="69"/>
      <c r="F726" s="69"/>
      <c r="I726" s="69"/>
      <c r="L726" s="69"/>
      <c r="O726" s="69"/>
      <c r="R726" s="69"/>
    </row>
    <row r="727" spans="3:18" ht="16.5">
      <c r="C727" s="69"/>
      <c r="F727" s="69"/>
      <c r="I727" s="69"/>
      <c r="L727" s="69"/>
      <c r="O727" s="69"/>
      <c r="R727" s="69"/>
    </row>
    <row r="728" spans="3:18" ht="16.5">
      <c r="C728" s="69"/>
      <c r="F728" s="69"/>
      <c r="I728" s="69"/>
      <c r="L728" s="69"/>
      <c r="O728" s="69"/>
      <c r="R728" s="69"/>
    </row>
    <row r="729" spans="3:18" ht="16.5">
      <c r="C729" s="69"/>
      <c r="F729" s="69"/>
      <c r="I729" s="69"/>
      <c r="L729" s="69"/>
      <c r="O729" s="69"/>
      <c r="R729" s="69"/>
    </row>
    <row r="730" spans="3:18" ht="16.5">
      <c r="C730" s="69"/>
      <c r="F730" s="69"/>
      <c r="I730" s="69"/>
      <c r="L730" s="69"/>
      <c r="O730" s="69"/>
      <c r="R730" s="69"/>
    </row>
    <row r="731" spans="3:18" ht="16.5">
      <c r="C731" s="69"/>
      <c r="F731" s="69"/>
      <c r="I731" s="69"/>
      <c r="L731" s="69"/>
      <c r="O731" s="69"/>
      <c r="R731" s="69"/>
    </row>
    <row r="732" spans="3:18" ht="16.5">
      <c r="C732" s="69"/>
      <c r="F732" s="69"/>
      <c r="I732" s="69"/>
      <c r="L732" s="69"/>
      <c r="O732" s="69"/>
      <c r="R732" s="69"/>
    </row>
    <row r="733" spans="3:18" ht="16.5">
      <c r="C733" s="69"/>
      <c r="F733" s="69"/>
      <c r="I733" s="69"/>
      <c r="L733" s="69"/>
      <c r="O733" s="69"/>
      <c r="R733" s="69"/>
    </row>
    <row r="734" spans="3:18" ht="16.5">
      <c r="C734" s="69"/>
      <c r="F734" s="69"/>
      <c r="I734" s="69"/>
      <c r="L734" s="69"/>
      <c r="O734" s="69"/>
      <c r="R734" s="69"/>
    </row>
    <row r="735" spans="3:18" ht="16.5">
      <c r="C735" s="69"/>
      <c r="F735" s="69"/>
      <c r="I735" s="69"/>
      <c r="L735" s="69"/>
      <c r="O735" s="69"/>
      <c r="R735" s="69"/>
    </row>
    <row r="736" spans="3:18" ht="16.5">
      <c r="C736" s="69"/>
      <c r="F736" s="69"/>
      <c r="I736" s="69"/>
      <c r="L736" s="69"/>
      <c r="O736" s="69"/>
      <c r="R736" s="69"/>
    </row>
    <row r="737" spans="3:18" ht="16.5">
      <c r="C737" s="69"/>
      <c r="F737" s="69"/>
      <c r="I737" s="69"/>
      <c r="L737" s="69"/>
      <c r="O737" s="69"/>
      <c r="R737" s="69"/>
    </row>
    <row r="738" spans="3:18" ht="16.5">
      <c r="C738" s="69"/>
      <c r="F738" s="69"/>
      <c r="I738" s="69"/>
      <c r="L738" s="69"/>
      <c r="O738" s="69"/>
      <c r="R738" s="69"/>
    </row>
    <row r="739" spans="3:18" ht="16.5">
      <c r="C739" s="69"/>
      <c r="F739" s="69"/>
      <c r="I739" s="69"/>
      <c r="L739" s="69"/>
      <c r="O739" s="69"/>
      <c r="R739" s="69"/>
    </row>
    <row r="740" spans="3:18" ht="16.5">
      <c r="C740" s="69"/>
      <c r="F740" s="69"/>
      <c r="I740" s="69"/>
      <c r="L740" s="69"/>
      <c r="O740" s="69"/>
      <c r="R740" s="69"/>
    </row>
    <row r="741" spans="3:18" ht="16.5">
      <c r="C741" s="69"/>
      <c r="F741" s="69"/>
      <c r="I741" s="69"/>
      <c r="L741" s="69"/>
      <c r="O741" s="69"/>
      <c r="R741" s="69"/>
    </row>
    <row r="742" spans="3:18" ht="16.5">
      <c r="C742" s="69"/>
      <c r="F742" s="69"/>
      <c r="I742" s="69"/>
      <c r="L742" s="69"/>
      <c r="O742" s="69"/>
      <c r="R742" s="69"/>
    </row>
    <row r="743" spans="3:18" ht="16.5">
      <c r="C743" s="69"/>
      <c r="F743" s="69"/>
      <c r="I743" s="69"/>
      <c r="L743" s="69"/>
      <c r="O743" s="69"/>
      <c r="R743" s="69"/>
    </row>
    <row r="744" spans="3:18" ht="16.5">
      <c r="C744" s="69"/>
      <c r="F744" s="69"/>
      <c r="I744" s="69"/>
      <c r="L744" s="69"/>
      <c r="O744" s="69"/>
      <c r="R744" s="69"/>
    </row>
    <row r="745" spans="3:18" ht="16.5">
      <c r="C745" s="69"/>
      <c r="F745" s="69"/>
      <c r="I745" s="69"/>
      <c r="L745" s="69"/>
      <c r="O745" s="69"/>
      <c r="R745" s="69"/>
    </row>
    <row r="746" spans="3:18" ht="16.5">
      <c r="C746" s="69"/>
      <c r="F746" s="69"/>
      <c r="I746" s="69"/>
      <c r="L746" s="69"/>
      <c r="O746" s="69"/>
      <c r="R746" s="69"/>
    </row>
    <row r="747" spans="3:18" ht="16.5">
      <c r="C747" s="69"/>
      <c r="F747" s="69"/>
      <c r="I747" s="69"/>
      <c r="L747" s="69"/>
      <c r="O747" s="69"/>
      <c r="R747" s="69"/>
    </row>
    <row r="748" spans="3:18" ht="16.5">
      <c r="C748" s="69"/>
      <c r="F748" s="69"/>
      <c r="I748" s="69"/>
      <c r="L748" s="69"/>
      <c r="O748" s="69"/>
      <c r="R748" s="69"/>
    </row>
    <row r="749" spans="3:18" ht="16.5">
      <c r="C749" s="69"/>
      <c r="F749" s="69"/>
      <c r="I749" s="69"/>
      <c r="L749" s="69"/>
      <c r="O749" s="69"/>
      <c r="R749" s="69"/>
    </row>
    <row r="750" spans="3:18" ht="16.5">
      <c r="C750" s="69"/>
      <c r="F750" s="69"/>
      <c r="I750" s="69"/>
      <c r="L750" s="69"/>
      <c r="O750" s="69"/>
      <c r="R750" s="69"/>
    </row>
    <row r="751" spans="3:18" ht="16.5">
      <c r="C751" s="69"/>
      <c r="F751" s="69"/>
      <c r="I751" s="69"/>
      <c r="L751" s="69"/>
      <c r="O751" s="69"/>
      <c r="R751" s="69"/>
    </row>
    <row r="752" spans="3:18" ht="16.5">
      <c r="C752" s="69"/>
      <c r="F752" s="69"/>
      <c r="I752" s="69"/>
      <c r="L752" s="69"/>
      <c r="O752" s="69"/>
      <c r="R752" s="69"/>
    </row>
    <row r="753" spans="3:18" ht="16.5">
      <c r="C753" s="69"/>
      <c r="F753" s="69"/>
      <c r="I753" s="69"/>
      <c r="L753" s="69"/>
      <c r="O753" s="69"/>
      <c r="R753" s="69"/>
    </row>
    <row r="754" spans="3:18" ht="16.5">
      <c r="C754" s="69"/>
      <c r="F754" s="69"/>
      <c r="I754" s="69"/>
      <c r="L754" s="69"/>
      <c r="O754" s="69"/>
      <c r="R754" s="69"/>
    </row>
    <row r="755" spans="3:18" ht="16.5">
      <c r="C755" s="69"/>
      <c r="F755" s="69"/>
      <c r="I755" s="69"/>
      <c r="L755" s="69"/>
      <c r="O755" s="69"/>
      <c r="R755" s="69"/>
    </row>
    <row r="756" spans="3:18" ht="16.5">
      <c r="C756" s="69"/>
      <c r="F756" s="69"/>
      <c r="I756" s="69"/>
      <c r="L756" s="69"/>
      <c r="O756" s="69"/>
      <c r="R756" s="69"/>
    </row>
    <row r="757" spans="3:18" ht="16.5">
      <c r="C757" s="69"/>
      <c r="F757" s="69"/>
      <c r="I757" s="69"/>
      <c r="L757" s="69"/>
      <c r="O757" s="69"/>
      <c r="R757" s="69"/>
    </row>
    <row r="758" spans="3:18" ht="16.5">
      <c r="C758" s="69"/>
      <c r="F758" s="69"/>
      <c r="I758" s="69"/>
      <c r="L758" s="69"/>
      <c r="O758" s="69"/>
      <c r="R758" s="69"/>
    </row>
    <row r="759" spans="3:18" ht="16.5">
      <c r="C759" s="69"/>
      <c r="F759" s="69"/>
      <c r="I759" s="69"/>
      <c r="L759" s="69"/>
      <c r="O759" s="69"/>
      <c r="R759" s="69"/>
    </row>
    <row r="760" spans="3:18" ht="16.5">
      <c r="C760" s="69"/>
      <c r="F760" s="69"/>
      <c r="I760" s="69"/>
      <c r="L760" s="69"/>
      <c r="O760" s="69"/>
      <c r="R760" s="69"/>
    </row>
    <row r="761" spans="3:18" ht="16.5">
      <c r="C761" s="69"/>
      <c r="F761" s="69"/>
      <c r="I761" s="69"/>
      <c r="L761" s="69"/>
      <c r="O761" s="69"/>
      <c r="R761" s="69"/>
    </row>
    <row r="762" spans="3:18" ht="16.5">
      <c r="C762" s="69"/>
      <c r="F762" s="69"/>
      <c r="I762" s="69"/>
      <c r="L762" s="69"/>
      <c r="O762" s="69"/>
      <c r="R762" s="69"/>
    </row>
    <row r="763" spans="3:18" ht="16.5">
      <c r="C763" s="69"/>
      <c r="F763" s="69"/>
      <c r="I763" s="69"/>
      <c r="L763" s="69"/>
      <c r="O763" s="69"/>
      <c r="R763" s="69"/>
    </row>
    <row r="764" spans="3:18" ht="16.5">
      <c r="C764" s="69"/>
      <c r="F764" s="69"/>
      <c r="I764" s="69"/>
      <c r="L764" s="69"/>
      <c r="O764" s="69"/>
      <c r="R764" s="69"/>
    </row>
    <row r="765" spans="3:18" ht="16.5">
      <c r="C765" s="69"/>
      <c r="F765" s="69"/>
      <c r="I765" s="69"/>
      <c r="L765" s="69"/>
      <c r="O765" s="69"/>
      <c r="R765" s="69"/>
    </row>
    <row r="766" spans="3:18" ht="16.5">
      <c r="C766" s="69"/>
      <c r="F766" s="69"/>
      <c r="I766" s="69"/>
      <c r="L766" s="69"/>
      <c r="O766" s="69"/>
      <c r="R766" s="69"/>
    </row>
    <row r="767" spans="3:18" ht="16.5">
      <c r="C767" s="69"/>
      <c r="F767" s="69"/>
      <c r="I767" s="69"/>
      <c r="L767" s="69"/>
      <c r="O767" s="69"/>
      <c r="R767" s="69"/>
    </row>
    <row r="768" spans="3:18" ht="16.5">
      <c r="C768" s="69"/>
      <c r="F768" s="69"/>
      <c r="I768" s="69"/>
      <c r="L768" s="69"/>
      <c r="O768" s="69"/>
      <c r="R768" s="69"/>
    </row>
    <row r="769" spans="3:18" ht="16.5">
      <c r="C769" s="69"/>
      <c r="F769" s="69"/>
      <c r="I769" s="69"/>
      <c r="L769" s="69"/>
      <c r="O769" s="69"/>
      <c r="R769" s="69"/>
    </row>
    <row r="770" spans="3:18" ht="16.5">
      <c r="C770" s="69"/>
      <c r="F770" s="69"/>
      <c r="I770" s="69"/>
      <c r="L770" s="69"/>
      <c r="O770" s="69"/>
      <c r="R770" s="69"/>
    </row>
    <row r="771" spans="3:18" ht="16.5">
      <c r="C771" s="69"/>
      <c r="F771" s="69"/>
      <c r="I771" s="69"/>
      <c r="L771" s="69"/>
      <c r="O771" s="69"/>
      <c r="R771" s="69"/>
    </row>
    <row r="772" spans="3:18" ht="16.5">
      <c r="C772" s="69"/>
      <c r="F772" s="69"/>
      <c r="I772" s="69"/>
      <c r="L772" s="69"/>
      <c r="O772" s="69"/>
      <c r="R772" s="69"/>
    </row>
    <row r="773" spans="3:18" ht="16.5">
      <c r="C773" s="69"/>
      <c r="F773" s="69"/>
      <c r="I773" s="69"/>
      <c r="L773" s="69"/>
      <c r="O773" s="69"/>
      <c r="R773" s="69"/>
    </row>
    <row r="774" spans="3:18" ht="16.5">
      <c r="C774" s="69"/>
      <c r="F774" s="69"/>
      <c r="I774" s="69"/>
      <c r="L774" s="69"/>
      <c r="O774" s="69"/>
      <c r="R774" s="69"/>
    </row>
    <row r="775" spans="3:18" ht="16.5">
      <c r="C775" s="69"/>
      <c r="F775" s="69"/>
      <c r="I775" s="69"/>
      <c r="L775" s="69"/>
      <c r="O775" s="69"/>
      <c r="R775" s="69"/>
    </row>
    <row r="776" spans="3:18" ht="16.5">
      <c r="C776" s="69"/>
      <c r="F776" s="69"/>
      <c r="I776" s="69"/>
      <c r="L776" s="69"/>
      <c r="O776" s="69"/>
      <c r="R776" s="69"/>
    </row>
    <row r="777" spans="3:18" ht="16.5">
      <c r="C777" s="69"/>
      <c r="F777" s="69"/>
      <c r="I777" s="69"/>
      <c r="L777" s="69"/>
      <c r="O777" s="69"/>
      <c r="R777" s="69"/>
    </row>
    <row r="778" spans="3:18" ht="16.5">
      <c r="C778" s="69"/>
      <c r="F778" s="69"/>
      <c r="I778" s="69"/>
      <c r="L778" s="69"/>
      <c r="O778" s="69"/>
      <c r="R778" s="69"/>
    </row>
    <row r="779" spans="3:18" ht="16.5">
      <c r="C779" s="69"/>
      <c r="F779" s="69"/>
      <c r="I779" s="69"/>
      <c r="L779" s="69"/>
      <c r="O779" s="69"/>
      <c r="R779" s="69"/>
    </row>
    <row r="780" spans="3:18" ht="16.5">
      <c r="C780" s="69"/>
      <c r="F780" s="69"/>
      <c r="I780" s="69"/>
      <c r="L780" s="69"/>
      <c r="O780" s="69"/>
      <c r="R780" s="69"/>
    </row>
    <row r="781" spans="3:18" ht="16.5">
      <c r="C781" s="69"/>
      <c r="F781" s="69"/>
      <c r="I781" s="69"/>
      <c r="L781" s="69"/>
      <c r="O781" s="69"/>
      <c r="R781" s="69"/>
    </row>
    <row r="782" spans="3:18" ht="16.5">
      <c r="C782" s="69"/>
      <c r="F782" s="69"/>
      <c r="I782" s="69"/>
      <c r="L782" s="69"/>
      <c r="O782" s="69"/>
      <c r="R782" s="69"/>
    </row>
    <row r="783" spans="3:18" ht="16.5">
      <c r="C783" s="69"/>
      <c r="F783" s="69"/>
      <c r="I783" s="69"/>
      <c r="L783" s="69"/>
      <c r="O783" s="69"/>
      <c r="R783" s="69"/>
    </row>
    <row r="784" spans="3:18" ht="16.5">
      <c r="C784" s="69"/>
      <c r="F784" s="69"/>
      <c r="I784" s="69"/>
      <c r="L784" s="69"/>
      <c r="O784" s="69"/>
      <c r="R784" s="69"/>
    </row>
    <row r="785" spans="3:18" ht="16.5">
      <c r="C785" s="69"/>
      <c r="F785" s="69"/>
      <c r="I785" s="69"/>
      <c r="L785" s="69"/>
      <c r="O785" s="69"/>
      <c r="R785" s="69"/>
    </row>
    <row r="786" spans="3:18" ht="16.5">
      <c r="C786" s="69"/>
      <c r="F786" s="69"/>
      <c r="I786" s="69"/>
      <c r="L786" s="69"/>
      <c r="O786" s="69"/>
      <c r="R786" s="69"/>
    </row>
    <row r="787" spans="3:18" ht="16.5">
      <c r="C787" s="69"/>
      <c r="F787" s="69"/>
      <c r="I787" s="69"/>
      <c r="L787" s="69"/>
      <c r="O787" s="69"/>
      <c r="R787" s="69"/>
    </row>
    <row r="788" spans="3:18" ht="16.5">
      <c r="C788" s="69"/>
      <c r="F788" s="69"/>
      <c r="I788" s="69"/>
      <c r="L788" s="69"/>
      <c r="O788" s="69"/>
      <c r="R788" s="69"/>
    </row>
    <row r="789" spans="3:18" ht="16.5">
      <c r="C789" s="69"/>
      <c r="F789" s="69"/>
      <c r="I789" s="69"/>
      <c r="L789" s="69"/>
      <c r="O789" s="69"/>
      <c r="R789" s="69"/>
    </row>
    <row r="790" spans="3:18" ht="16.5">
      <c r="C790" s="69"/>
      <c r="F790" s="69"/>
      <c r="I790" s="69"/>
      <c r="L790" s="69"/>
      <c r="O790" s="69"/>
      <c r="R790" s="69"/>
    </row>
    <row r="791" spans="3:18" ht="16.5">
      <c r="C791" s="69"/>
      <c r="F791" s="69"/>
      <c r="I791" s="69"/>
      <c r="L791" s="69"/>
      <c r="O791" s="69"/>
      <c r="R791" s="69"/>
    </row>
    <row r="792" spans="3:18" ht="16.5">
      <c r="C792" s="69"/>
      <c r="F792" s="69"/>
      <c r="I792" s="69"/>
      <c r="L792" s="69"/>
      <c r="O792" s="69"/>
      <c r="R792" s="69"/>
    </row>
    <row r="793" spans="3:18" ht="16.5">
      <c r="C793" s="69"/>
      <c r="F793" s="69"/>
      <c r="I793" s="69"/>
      <c r="L793" s="69"/>
      <c r="O793" s="69"/>
      <c r="R793" s="69"/>
    </row>
    <row r="794" spans="3:18" ht="16.5">
      <c r="C794" s="69"/>
      <c r="F794" s="69"/>
      <c r="I794" s="69"/>
      <c r="L794" s="69"/>
      <c r="O794" s="69"/>
      <c r="R794" s="69"/>
    </row>
    <row r="795" spans="3:18" ht="16.5">
      <c r="C795" s="69"/>
      <c r="F795" s="69"/>
      <c r="I795" s="69"/>
      <c r="L795" s="69"/>
      <c r="O795" s="69"/>
      <c r="R795" s="69"/>
    </row>
    <row r="796" spans="3:18" ht="16.5">
      <c r="C796" s="69"/>
      <c r="F796" s="69"/>
      <c r="I796" s="69"/>
      <c r="L796" s="69"/>
      <c r="O796" s="69"/>
      <c r="R796" s="69"/>
    </row>
    <row r="797" spans="3:18" ht="16.5">
      <c r="C797" s="69"/>
      <c r="F797" s="69"/>
      <c r="I797" s="69"/>
      <c r="L797" s="69"/>
      <c r="O797" s="69"/>
      <c r="R797" s="69"/>
    </row>
    <row r="798" spans="3:18" ht="16.5">
      <c r="C798" s="69"/>
      <c r="F798" s="69"/>
      <c r="I798" s="69"/>
      <c r="L798" s="69"/>
      <c r="O798" s="69"/>
      <c r="R798" s="69"/>
    </row>
    <row r="799" spans="3:18" ht="16.5">
      <c r="C799" s="69"/>
      <c r="F799" s="69"/>
      <c r="I799" s="69"/>
      <c r="L799" s="69"/>
      <c r="O799" s="69"/>
      <c r="R799" s="69"/>
    </row>
    <row r="800" spans="3:18" ht="16.5">
      <c r="C800" s="69"/>
      <c r="F800" s="69"/>
      <c r="I800" s="69"/>
      <c r="L800" s="69"/>
      <c r="O800" s="69"/>
      <c r="R800" s="69"/>
    </row>
    <row r="801" spans="3:18" ht="16.5">
      <c r="C801" s="69"/>
      <c r="F801" s="69"/>
      <c r="I801" s="69"/>
      <c r="L801" s="69"/>
      <c r="O801" s="69"/>
      <c r="R801" s="69"/>
    </row>
    <row r="802" spans="3:18" ht="16.5">
      <c r="C802" s="69"/>
      <c r="F802" s="69"/>
      <c r="I802" s="69"/>
      <c r="L802" s="69"/>
      <c r="O802" s="69"/>
      <c r="R802" s="69"/>
    </row>
    <row r="803" spans="3:18" ht="16.5">
      <c r="C803" s="69"/>
      <c r="F803" s="69"/>
      <c r="I803" s="69"/>
      <c r="L803" s="69"/>
      <c r="O803" s="69"/>
      <c r="R803" s="69"/>
    </row>
    <row r="804" spans="3:18" ht="16.5">
      <c r="C804" s="69"/>
      <c r="F804" s="69"/>
      <c r="I804" s="69"/>
      <c r="L804" s="69"/>
      <c r="O804" s="69"/>
      <c r="R804" s="69"/>
    </row>
    <row r="805" spans="3:18" ht="16.5">
      <c r="C805" s="69"/>
      <c r="F805" s="69"/>
      <c r="I805" s="69"/>
      <c r="L805" s="69"/>
      <c r="O805" s="69"/>
      <c r="R805" s="69"/>
    </row>
    <row r="806" spans="3:18" ht="16.5">
      <c r="C806" s="69"/>
      <c r="F806" s="69"/>
      <c r="I806" s="69"/>
      <c r="L806" s="69"/>
      <c r="O806" s="69"/>
      <c r="R806" s="69"/>
    </row>
    <row r="807" spans="3:18" ht="16.5">
      <c r="C807" s="69"/>
      <c r="F807" s="69"/>
      <c r="I807" s="69"/>
      <c r="L807" s="69"/>
      <c r="O807" s="69"/>
      <c r="R807" s="69"/>
    </row>
    <row r="808" spans="3:18" ht="16.5">
      <c r="C808" s="69"/>
      <c r="F808" s="69"/>
      <c r="I808" s="69"/>
      <c r="L808" s="69"/>
      <c r="O808" s="69"/>
      <c r="R808" s="69"/>
    </row>
    <row r="809" spans="3:18" ht="16.5">
      <c r="C809" s="69"/>
      <c r="F809" s="69"/>
      <c r="I809" s="69"/>
      <c r="L809" s="69"/>
      <c r="O809" s="69"/>
      <c r="R809" s="69"/>
    </row>
    <row r="810" spans="3:18" ht="16.5">
      <c r="C810" s="69"/>
      <c r="F810" s="69"/>
      <c r="I810" s="69"/>
      <c r="L810" s="69"/>
      <c r="O810" s="69"/>
      <c r="R810" s="69"/>
    </row>
    <row r="811" spans="3:18" ht="16.5">
      <c r="C811" s="69"/>
      <c r="F811" s="69"/>
      <c r="I811" s="69"/>
      <c r="L811" s="69"/>
      <c r="O811" s="69"/>
      <c r="R811" s="69"/>
    </row>
    <row r="812" spans="3:18" ht="16.5">
      <c r="C812" s="69"/>
      <c r="F812" s="69"/>
      <c r="I812" s="69"/>
      <c r="L812" s="69"/>
      <c r="O812" s="69"/>
      <c r="R812" s="69"/>
    </row>
    <row r="813" spans="3:18" ht="16.5">
      <c r="C813" s="69"/>
      <c r="F813" s="69"/>
      <c r="I813" s="69"/>
      <c r="L813" s="69"/>
      <c r="O813" s="69"/>
      <c r="R813" s="69"/>
    </row>
    <row r="814" spans="3:18" ht="16.5">
      <c r="C814" s="69"/>
      <c r="F814" s="69"/>
      <c r="I814" s="69"/>
      <c r="L814" s="69"/>
      <c r="O814" s="69"/>
      <c r="R814" s="69"/>
    </row>
    <row r="815" spans="3:18" ht="16.5">
      <c r="C815" s="69"/>
      <c r="F815" s="69"/>
      <c r="I815" s="69"/>
      <c r="L815" s="69"/>
      <c r="O815" s="69"/>
      <c r="R815" s="69"/>
    </row>
    <row r="816" spans="3:18" ht="16.5">
      <c r="C816" s="69"/>
      <c r="F816" s="69"/>
      <c r="I816" s="69"/>
      <c r="L816" s="69"/>
      <c r="O816" s="69"/>
      <c r="R816" s="69"/>
    </row>
    <row r="817" spans="3:18" ht="16.5">
      <c r="C817" s="69"/>
      <c r="F817" s="69"/>
      <c r="I817" s="69"/>
      <c r="L817" s="69"/>
      <c r="O817" s="69"/>
      <c r="R817" s="69"/>
    </row>
    <row r="818" spans="3:18" ht="16.5">
      <c r="C818" s="69"/>
      <c r="F818" s="69"/>
      <c r="I818" s="69"/>
      <c r="L818" s="69"/>
      <c r="O818" s="69"/>
      <c r="R818" s="69"/>
    </row>
    <row r="819" spans="3:18" ht="16.5">
      <c r="C819" s="69"/>
      <c r="F819" s="69"/>
      <c r="I819" s="69"/>
      <c r="L819" s="69"/>
      <c r="O819" s="69"/>
      <c r="R819" s="69"/>
    </row>
    <row r="820" spans="3:18" ht="16.5">
      <c r="C820" s="69"/>
      <c r="F820" s="69"/>
      <c r="I820" s="69"/>
      <c r="L820" s="69"/>
      <c r="O820" s="69"/>
      <c r="R820" s="69"/>
    </row>
    <row r="821" spans="3:18" ht="16.5">
      <c r="C821" s="69"/>
      <c r="F821" s="69"/>
      <c r="I821" s="69"/>
      <c r="L821" s="69"/>
      <c r="O821" s="69"/>
      <c r="R821" s="69"/>
    </row>
    <row r="822" spans="3:18" ht="16.5">
      <c r="C822" s="69"/>
      <c r="F822" s="69"/>
      <c r="I822" s="69"/>
      <c r="L822" s="69"/>
      <c r="O822" s="69"/>
      <c r="R822" s="69"/>
    </row>
    <row r="823" spans="3:18" ht="16.5">
      <c r="C823" s="69"/>
      <c r="F823" s="69"/>
      <c r="I823" s="69"/>
      <c r="L823" s="69"/>
      <c r="O823" s="69"/>
      <c r="R823" s="69"/>
    </row>
    <row r="824" spans="3:18" ht="16.5">
      <c r="C824" s="69"/>
      <c r="F824" s="69"/>
      <c r="I824" s="69"/>
      <c r="L824" s="69"/>
      <c r="O824" s="69"/>
      <c r="R824" s="69"/>
    </row>
    <row r="825" spans="3:18" ht="16.5">
      <c r="C825" s="69"/>
      <c r="F825" s="69"/>
      <c r="I825" s="69"/>
      <c r="L825" s="69"/>
      <c r="O825" s="69"/>
      <c r="R825" s="69"/>
    </row>
    <row r="826" spans="3:18" ht="16.5">
      <c r="C826" s="69"/>
      <c r="F826" s="69"/>
      <c r="I826" s="69"/>
      <c r="L826" s="69"/>
      <c r="O826" s="69"/>
      <c r="R826" s="69"/>
    </row>
    <row r="827" spans="3:18" ht="16.5">
      <c r="C827" s="69"/>
      <c r="F827" s="69"/>
      <c r="I827" s="69"/>
      <c r="L827" s="69"/>
      <c r="O827" s="69"/>
      <c r="R827" s="69"/>
    </row>
    <row r="828" spans="3:18" ht="16.5">
      <c r="C828" s="69"/>
      <c r="F828" s="69"/>
      <c r="I828" s="69"/>
      <c r="L828" s="69"/>
      <c r="O828" s="69"/>
      <c r="R828" s="69"/>
    </row>
    <row r="829" spans="3:18" ht="16.5">
      <c r="C829" s="69"/>
      <c r="F829" s="69"/>
      <c r="I829" s="69"/>
      <c r="L829" s="69"/>
      <c r="O829" s="69"/>
      <c r="R829" s="69"/>
    </row>
    <row r="830" spans="3:18" ht="16.5">
      <c r="C830" s="69"/>
      <c r="F830" s="69"/>
      <c r="I830" s="69"/>
      <c r="L830" s="69"/>
      <c r="O830" s="69"/>
      <c r="R830" s="69"/>
    </row>
    <row r="831" spans="3:18" ht="16.5">
      <c r="C831" s="69"/>
      <c r="F831" s="69"/>
      <c r="I831" s="69"/>
      <c r="L831" s="69"/>
      <c r="O831" s="69"/>
      <c r="R831" s="69"/>
    </row>
    <row r="832" spans="3:18" ht="16.5">
      <c r="C832" s="69"/>
      <c r="F832" s="69"/>
      <c r="I832" s="69"/>
      <c r="L832" s="69"/>
      <c r="O832" s="69"/>
      <c r="R832" s="69"/>
    </row>
    <row r="833" spans="3:18" ht="16.5">
      <c r="C833" s="69"/>
      <c r="F833" s="69"/>
      <c r="I833" s="69"/>
      <c r="L833" s="69"/>
      <c r="O833" s="69"/>
      <c r="R833" s="69"/>
    </row>
    <row r="834" spans="3:18" ht="16.5">
      <c r="C834" s="69"/>
      <c r="F834" s="69"/>
      <c r="I834" s="69"/>
      <c r="L834" s="69"/>
      <c r="O834" s="69"/>
      <c r="R834" s="69"/>
    </row>
    <row r="835" spans="3:18" ht="16.5">
      <c r="C835" s="69"/>
      <c r="F835" s="69"/>
      <c r="I835" s="69"/>
      <c r="L835" s="69"/>
      <c r="O835" s="69"/>
      <c r="R835" s="69"/>
    </row>
    <row r="836" spans="3:18" ht="16.5">
      <c r="C836" s="69"/>
      <c r="F836" s="69"/>
      <c r="I836" s="69"/>
      <c r="L836" s="69"/>
      <c r="O836" s="69"/>
      <c r="R836" s="69"/>
    </row>
    <row r="837" spans="3:18" ht="16.5">
      <c r="C837" s="69"/>
      <c r="F837" s="69"/>
      <c r="I837" s="69"/>
      <c r="L837" s="69"/>
      <c r="O837" s="69"/>
      <c r="R837" s="69"/>
    </row>
    <row r="838" spans="3:18" ht="16.5">
      <c r="C838" s="69"/>
      <c r="F838" s="69"/>
      <c r="I838" s="69"/>
      <c r="L838" s="69"/>
      <c r="O838" s="69"/>
      <c r="R838" s="69"/>
    </row>
    <row r="839" spans="3:18" ht="16.5">
      <c r="C839" s="69"/>
      <c r="F839" s="69"/>
      <c r="I839" s="69"/>
      <c r="L839" s="69"/>
      <c r="O839" s="69"/>
      <c r="R839" s="69"/>
    </row>
    <row r="840" spans="3:18" ht="16.5">
      <c r="C840" s="69"/>
      <c r="F840" s="69"/>
      <c r="I840" s="69"/>
      <c r="L840" s="69"/>
      <c r="O840" s="69"/>
      <c r="R840" s="69"/>
    </row>
    <row r="841" spans="3:18" ht="16.5">
      <c r="C841" s="69"/>
      <c r="F841" s="69"/>
      <c r="I841" s="69"/>
      <c r="L841" s="69"/>
      <c r="O841" s="69"/>
      <c r="R841" s="69"/>
    </row>
    <row r="842" spans="3:18" ht="16.5">
      <c r="C842" s="69"/>
      <c r="F842" s="69"/>
      <c r="I842" s="69"/>
      <c r="L842" s="69"/>
      <c r="O842" s="69"/>
      <c r="R842" s="69"/>
    </row>
    <row r="843" spans="3:18" ht="16.5">
      <c r="C843" s="69"/>
      <c r="F843" s="69"/>
      <c r="I843" s="69"/>
      <c r="L843" s="69"/>
      <c r="O843" s="69"/>
      <c r="R843" s="69"/>
    </row>
    <row r="844" spans="3:18" ht="16.5">
      <c r="C844" s="69"/>
      <c r="F844" s="69"/>
      <c r="I844" s="69"/>
      <c r="L844" s="69"/>
      <c r="O844" s="69"/>
      <c r="R844" s="69"/>
    </row>
    <row r="845" spans="3:18" ht="16.5">
      <c r="C845" s="69"/>
      <c r="F845" s="69"/>
      <c r="I845" s="69"/>
      <c r="L845" s="69"/>
      <c r="O845" s="69"/>
      <c r="R845" s="69"/>
    </row>
    <row r="846" spans="3:18" ht="16.5">
      <c r="C846" s="69"/>
      <c r="F846" s="69"/>
      <c r="I846" s="69"/>
      <c r="L846" s="69"/>
      <c r="O846" s="69"/>
      <c r="R846" s="69"/>
    </row>
    <row r="847" spans="3:18" ht="16.5">
      <c r="C847" s="69"/>
      <c r="F847" s="69"/>
      <c r="I847" s="69"/>
      <c r="L847" s="69"/>
      <c r="O847" s="69"/>
      <c r="R847" s="69"/>
    </row>
    <row r="848" spans="3:18" ht="16.5">
      <c r="C848" s="69"/>
      <c r="F848" s="69"/>
      <c r="I848" s="69"/>
      <c r="L848" s="69"/>
      <c r="O848" s="69"/>
      <c r="R848" s="69"/>
    </row>
    <row r="849" spans="3:18" ht="16.5">
      <c r="C849" s="69"/>
      <c r="F849" s="69"/>
      <c r="I849" s="69"/>
      <c r="L849" s="69"/>
      <c r="O849" s="69"/>
      <c r="R849" s="69"/>
    </row>
    <row r="850" spans="3:18" ht="16.5">
      <c r="C850" s="69"/>
      <c r="F850" s="69"/>
      <c r="I850" s="69"/>
      <c r="L850" s="69"/>
      <c r="O850" s="69"/>
      <c r="R850" s="69"/>
    </row>
    <row r="851" spans="3:18" ht="16.5">
      <c r="C851" s="69"/>
      <c r="F851" s="69"/>
      <c r="I851" s="69"/>
      <c r="L851" s="69"/>
      <c r="O851" s="69"/>
      <c r="R851" s="69"/>
    </row>
    <row r="852" spans="3:18" ht="16.5">
      <c r="C852" s="69"/>
      <c r="F852" s="69"/>
      <c r="I852" s="69"/>
      <c r="L852" s="69"/>
      <c r="O852" s="69"/>
      <c r="R852" s="69"/>
    </row>
    <row r="853" spans="3:18" ht="16.5">
      <c r="C853" s="69"/>
      <c r="F853" s="69"/>
      <c r="I853" s="69"/>
      <c r="L853" s="69"/>
      <c r="O853" s="69"/>
      <c r="R853" s="69"/>
    </row>
    <row r="854" spans="3:18" ht="16.5">
      <c r="C854" s="69"/>
      <c r="F854" s="69"/>
      <c r="I854" s="69"/>
      <c r="L854" s="69"/>
      <c r="O854" s="69"/>
      <c r="R854" s="69"/>
    </row>
    <row r="855" spans="3:18" ht="16.5">
      <c r="C855" s="69"/>
      <c r="F855" s="69"/>
      <c r="I855" s="69"/>
      <c r="L855" s="69"/>
      <c r="O855" s="69"/>
      <c r="R855" s="69"/>
    </row>
    <row r="856" spans="3:18" ht="16.5">
      <c r="C856" s="69"/>
      <c r="F856" s="69"/>
      <c r="I856" s="69"/>
      <c r="L856" s="69"/>
      <c r="O856" s="69"/>
      <c r="R856" s="69"/>
    </row>
    <row r="857" spans="3:18" ht="16.5">
      <c r="C857" s="69"/>
      <c r="F857" s="69"/>
      <c r="I857" s="69"/>
      <c r="L857" s="69"/>
      <c r="O857" s="69"/>
      <c r="R857" s="69"/>
    </row>
    <row r="858" spans="3:18" ht="16.5">
      <c r="C858" s="69"/>
      <c r="F858" s="69"/>
      <c r="I858" s="69"/>
      <c r="L858" s="69"/>
      <c r="O858" s="69"/>
      <c r="R858" s="69"/>
    </row>
    <row r="859" spans="3:18" ht="16.5">
      <c r="C859" s="69"/>
      <c r="F859" s="69"/>
      <c r="I859" s="69"/>
      <c r="L859" s="69"/>
      <c r="O859" s="69"/>
      <c r="R859" s="69"/>
    </row>
    <row r="860" spans="3:18" ht="16.5">
      <c r="C860" s="69"/>
      <c r="F860" s="69"/>
      <c r="I860" s="69"/>
      <c r="L860" s="69"/>
      <c r="O860" s="69"/>
      <c r="R860" s="69"/>
    </row>
    <row r="861" spans="3:18" ht="16.5">
      <c r="C861" s="69"/>
      <c r="F861" s="69"/>
      <c r="I861" s="69"/>
      <c r="L861" s="69"/>
      <c r="O861" s="69"/>
      <c r="R861" s="69"/>
    </row>
    <row r="862" spans="3:18" ht="16.5">
      <c r="C862" s="69"/>
      <c r="F862" s="69"/>
      <c r="I862" s="69"/>
      <c r="L862" s="69"/>
      <c r="O862" s="69"/>
      <c r="R862" s="69"/>
    </row>
    <row r="863" spans="3:18" ht="16.5">
      <c r="C863" s="69"/>
      <c r="F863" s="69"/>
      <c r="I863" s="69"/>
      <c r="L863" s="69"/>
      <c r="O863" s="69"/>
      <c r="R863" s="69"/>
    </row>
    <row r="864" spans="3:18" ht="16.5">
      <c r="C864" s="69"/>
      <c r="F864" s="69"/>
      <c r="I864" s="69"/>
      <c r="L864" s="69"/>
      <c r="O864" s="69"/>
      <c r="R864" s="69"/>
    </row>
    <row r="865" spans="3:18" ht="16.5">
      <c r="C865" s="69"/>
      <c r="F865" s="69"/>
      <c r="I865" s="69"/>
      <c r="L865" s="69"/>
      <c r="O865" s="69"/>
      <c r="R865" s="69"/>
    </row>
    <row r="866" spans="3:18" ht="16.5">
      <c r="C866" s="69"/>
      <c r="F866" s="69"/>
      <c r="I866" s="69"/>
      <c r="L866" s="69"/>
      <c r="O866" s="69"/>
      <c r="R866" s="69"/>
    </row>
    <row r="867" spans="3:18" ht="16.5">
      <c r="C867" s="69"/>
      <c r="F867" s="69"/>
      <c r="I867" s="69"/>
      <c r="L867" s="69"/>
      <c r="O867" s="69"/>
      <c r="R867" s="69"/>
    </row>
    <row r="868" spans="3:18" ht="16.5">
      <c r="C868" s="69"/>
      <c r="F868" s="69"/>
      <c r="I868" s="69"/>
      <c r="L868" s="69"/>
      <c r="O868" s="69"/>
      <c r="R868" s="69"/>
    </row>
    <row r="869" spans="3:18" ht="16.5">
      <c r="C869" s="69"/>
      <c r="F869" s="69"/>
      <c r="I869" s="69"/>
      <c r="L869" s="69"/>
      <c r="O869" s="69"/>
      <c r="R869" s="69"/>
    </row>
    <row r="870" spans="3:18" ht="16.5">
      <c r="C870" s="69"/>
      <c r="F870" s="69"/>
      <c r="I870" s="69"/>
      <c r="L870" s="69"/>
      <c r="O870" s="69"/>
      <c r="R870" s="69"/>
    </row>
    <row r="871" spans="3:18" ht="16.5">
      <c r="C871" s="69"/>
      <c r="F871" s="69"/>
      <c r="I871" s="69"/>
      <c r="L871" s="69"/>
      <c r="O871" s="69"/>
      <c r="R871" s="69"/>
    </row>
    <row r="872" spans="3:18" ht="16.5">
      <c r="C872" s="69"/>
      <c r="F872" s="69"/>
      <c r="I872" s="69"/>
      <c r="L872" s="69"/>
      <c r="O872" s="69"/>
      <c r="R872" s="69"/>
    </row>
    <row r="873" spans="3:18" ht="16.5">
      <c r="C873" s="69"/>
      <c r="F873" s="69"/>
      <c r="I873" s="69"/>
      <c r="L873" s="69"/>
      <c r="O873" s="69"/>
      <c r="R873" s="69"/>
    </row>
    <row r="874" spans="3:18" ht="16.5">
      <c r="C874" s="69"/>
      <c r="F874" s="69"/>
      <c r="I874" s="69"/>
      <c r="L874" s="69"/>
      <c r="O874" s="69"/>
      <c r="R874" s="69"/>
    </row>
    <row r="875" spans="3:18" ht="16.5">
      <c r="C875" s="69"/>
      <c r="F875" s="69"/>
      <c r="I875" s="69"/>
      <c r="L875" s="69"/>
      <c r="O875" s="69"/>
      <c r="R875" s="69"/>
    </row>
    <row r="876" spans="3:18" ht="16.5">
      <c r="C876" s="69"/>
      <c r="F876" s="69"/>
      <c r="I876" s="69"/>
      <c r="L876" s="69"/>
      <c r="O876" s="69"/>
      <c r="R876" s="69"/>
    </row>
    <row r="877" spans="3:18" ht="16.5">
      <c r="C877" s="69"/>
      <c r="F877" s="69"/>
      <c r="I877" s="69"/>
      <c r="L877" s="69"/>
      <c r="O877" s="69"/>
      <c r="R877" s="69"/>
    </row>
    <row r="878" spans="3:18" ht="16.5">
      <c r="C878" s="69"/>
      <c r="F878" s="69"/>
      <c r="I878" s="69"/>
      <c r="L878" s="69"/>
      <c r="O878" s="69"/>
      <c r="R878" s="69"/>
    </row>
    <row r="879" spans="3:18" ht="16.5">
      <c r="C879" s="69"/>
      <c r="F879" s="69"/>
      <c r="I879" s="69"/>
      <c r="L879" s="69"/>
      <c r="O879" s="69"/>
      <c r="R879" s="69"/>
    </row>
    <row r="880" spans="3:18" ht="16.5">
      <c r="C880" s="69"/>
      <c r="F880" s="69"/>
      <c r="I880" s="69"/>
      <c r="L880" s="69"/>
      <c r="O880" s="69"/>
      <c r="R880" s="69"/>
    </row>
    <row r="881" spans="3:18" ht="16.5">
      <c r="C881" s="69"/>
      <c r="F881" s="69"/>
      <c r="I881" s="69"/>
      <c r="L881" s="69"/>
      <c r="O881" s="69"/>
      <c r="R881" s="69"/>
    </row>
    <row r="882" spans="3:18" ht="16.5">
      <c r="C882" s="69"/>
      <c r="F882" s="69"/>
      <c r="I882" s="69"/>
      <c r="L882" s="69"/>
      <c r="O882" s="69"/>
      <c r="R882" s="69"/>
    </row>
    <row r="883" spans="3:18" ht="16.5">
      <c r="C883" s="69"/>
      <c r="F883" s="69"/>
      <c r="I883" s="69"/>
      <c r="L883" s="69"/>
      <c r="O883" s="69"/>
      <c r="R883" s="69"/>
    </row>
    <row r="884" spans="3:18" ht="16.5">
      <c r="C884" s="69"/>
      <c r="F884" s="69"/>
      <c r="I884" s="69"/>
      <c r="L884" s="69"/>
      <c r="O884" s="69"/>
      <c r="R884" s="69"/>
    </row>
    <row r="885" spans="3:18" ht="16.5">
      <c r="C885" s="69"/>
      <c r="F885" s="69"/>
      <c r="I885" s="69"/>
      <c r="L885" s="69"/>
      <c r="O885" s="69"/>
      <c r="R885" s="69"/>
    </row>
    <row r="886" spans="3:18" ht="16.5">
      <c r="C886" s="69"/>
      <c r="F886" s="69"/>
      <c r="I886" s="69"/>
      <c r="L886" s="69"/>
      <c r="O886" s="69"/>
      <c r="R886" s="69"/>
    </row>
    <row r="887" spans="3:18" ht="16.5">
      <c r="C887" s="69"/>
      <c r="F887" s="69"/>
      <c r="I887" s="69"/>
      <c r="L887" s="69"/>
      <c r="O887" s="69"/>
      <c r="R887" s="69"/>
    </row>
    <row r="888" spans="3:18" ht="16.5">
      <c r="C888" s="69"/>
      <c r="F888" s="69"/>
      <c r="I888" s="69"/>
      <c r="L888" s="69"/>
      <c r="O888" s="69"/>
      <c r="R888" s="69"/>
    </row>
    <row r="889" spans="3:18" ht="16.5">
      <c r="C889" s="69"/>
      <c r="F889" s="69"/>
      <c r="I889" s="69"/>
      <c r="L889" s="69"/>
      <c r="O889" s="69"/>
      <c r="R889" s="69"/>
    </row>
    <row r="890" spans="3:18" ht="16.5">
      <c r="C890" s="69"/>
      <c r="F890" s="69"/>
      <c r="I890" s="69"/>
      <c r="L890" s="69"/>
      <c r="O890" s="69"/>
      <c r="R890" s="69"/>
    </row>
    <row r="891" spans="3:18" ht="16.5">
      <c r="C891" s="69"/>
      <c r="F891" s="69"/>
      <c r="I891" s="69"/>
      <c r="L891" s="69"/>
      <c r="O891" s="69"/>
      <c r="R891" s="69"/>
    </row>
    <row r="892" spans="3:18" ht="16.5">
      <c r="C892" s="69"/>
      <c r="F892" s="69"/>
      <c r="I892" s="69"/>
      <c r="L892" s="69"/>
      <c r="O892" s="69"/>
      <c r="R892" s="69"/>
    </row>
    <row r="893" spans="3:18" ht="16.5">
      <c r="C893" s="69"/>
      <c r="F893" s="69"/>
      <c r="I893" s="69"/>
      <c r="L893" s="69"/>
      <c r="O893" s="69"/>
      <c r="R893" s="69"/>
    </row>
    <row r="894" spans="3:18" ht="16.5">
      <c r="C894" s="69"/>
      <c r="F894" s="69"/>
      <c r="I894" s="69"/>
      <c r="L894" s="69"/>
      <c r="O894" s="69"/>
      <c r="R894" s="69"/>
    </row>
    <row r="895" spans="3:18" ht="16.5">
      <c r="C895" s="69"/>
      <c r="F895" s="69"/>
      <c r="I895" s="69"/>
      <c r="L895" s="69"/>
      <c r="O895" s="69"/>
      <c r="R895" s="69"/>
    </row>
    <row r="896" spans="3:18" ht="16.5">
      <c r="C896" s="69"/>
      <c r="F896" s="69"/>
      <c r="I896" s="69"/>
      <c r="L896" s="69"/>
      <c r="O896" s="69"/>
      <c r="R896" s="69"/>
    </row>
    <row r="897" spans="3:18" ht="16.5">
      <c r="C897" s="69"/>
      <c r="F897" s="69"/>
      <c r="I897" s="69"/>
      <c r="L897" s="69"/>
      <c r="O897" s="69"/>
      <c r="R897" s="69"/>
    </row>
    <row r="898" spans="3:18" ht="16.5">
      <c r="C898" s="69"/>
      <c r="F898" s="69"/>
      <c r="I898" s="69"/>
      <c r="L898" s="69"/>
      <c r="O898" s="69"/>
      <c r="R898" s="69"/>
    </row>
    <row r="899" spans="3:18" ht="16.5">
      <c r="C899" s="69"/>
      <c r="F899" s="69"/>
      <c r="I899" s="69"/>
      <c r="L899" s="69"/>
      <c r="O899" s="69"/>
      <c r="R899" s="69"/>
    </row>
    <row r="900" spans="3:18" ht="16.5">
      <c r="C900" s="69"/>
      <c r="F900" s="69"/>
      <c r="I900" s="69"/>
      <c r="L900" s="69"/>
      <c r="O900" s="69"/>
      <c r="R900" s="69"/>
    </row>
    <row r="901" spans="3:18" ht="16.5">
      <c r="C901" s="69"/>
      <c r="F901" s="69"/>
      <c r="I901" s="69"/>
      <c r="L901" s="69"/>
      <c r="O901" s="69"/>
      <c r="R901" s="69"/>
    </row>
    <row r="902" spans="3:18" ht="16.5">
      <c r="C902" s="69"/>
      <c r="F902" s="69"/>
      <c r="I902" s="69"/>
      <c r="L902" s="69"/>
      <c r="O902" s="69"/>
      <c r="R902" s="69"/>
    </row>
    <row r="903" spans="3:18" ht="16.5">
      <c r="C903" s="69"/>
      <c r="F903" s="69"/>
      <c r="I903" s="69"/>
      <c r="L903" s="69"/>
      <c r="O903" s="69"/>
      <c r="R903" s="69"/>
    </row>
    <row r="904" spans="3:18" ht="16.5">
      <c r="C904" s="69"/>
      <c r="F904" s="69"/>
      <c r="I904" s="69"/>
      <c r="L904" s="69"/>
      <c r="O904" s="69"/>
      <c r="R904" s="69"/>
    </row>
    <row r="905" spans="3:18" ht="16.5">
      <c r="C905" s="69"/>
      <c r="F905" s="69"/>
      <c r="I905" s="69"/>
      <c r="L905" s="69"/>
      <c r="O905" s="69"/>
      <c r="R905" s="69"/>
    </row>
    <row r="906" spans="3:18" ht="16.5">
      <c r="C906" s="69"/>
      <c r="F906" s="69"/>
      <c r="I906" s="69"/>
      <c r="L906" s="69"/>
      <c r="O906" s="69"/>
      <c r="R906" s="69"/>
    </row>
    <row r="907" spans="3:18" ht="16.5">
      <c r="C907" s="69"/>
      <c r="F907" s="69"/>
      <c r="I907" s="69"/>
      <c r="L907" s="69"/>
      <c r="O907" s="69"/>
      <c r="R907" s="69"/>
    </row>
    <row r="908" spans="3:18" ht="16.5">
      <c r="C908" s="69"/>
      <c r="F908" s="69"/>
      <c r="I908" s="69"/>
      <c r="L908" s="69"/>
      <c r="O908" s="69"/>
      <c r="R908" s="69"/>
    </row>
    <row r="909" spans="3:18" ht="16.5">
      <c r="C909" s="69"/>
      <c r="F909" s="69"/>
      <c r="I909" s="69"/>
      <c r="L909" s="69"/>
      <c r="O909" s="69"/>
      <c r="R909" s="69"/>
    </row>
    <row r="910" spans="3:18" ht="16.5">
      <c r="C910" s="69"/>
      <c r="F910" s="69"/>
      <c r="I910" s="69"/>
      <c r="L910" s="69"/>
      <c r="O910" s="69"/>
      <c r="R910" s="69"/>
    </row>
    <row r="911" spans="3:18" ht="16.5">
      <c r="C911" s="69"/>
      <c r="F911" s="69"/>
      <c r="I911" s="69"/>
      <c r="L911" s="69"/>
      <c r="O911" s="69"/>
      <c r="R911" s="69"/>
    </row>
    <row r="912" spans="3:18" ht="16.5">
      <c r="C912" s="69"/>
      <c r="F912" s="69"/>
      <c r="I912" s="69"/>
      <c r="L912" s="69"/>
      <c r="O912" s="69"/>
      <c r="R912" s="69"/>
    </row>
    <row r="913" spans="3:18" ht="16.5">
      <c r="C913" s="69"/>
      <c r="F913" s="69"/>
      <c r="I913" s="69"/>
      <c r="L913" s="69"/>
      <c r="O913" s="69"/>
      <c r="R913" s="69"/>
    </row>
    <row r="914" spans="3:18" ht="16.5">
      <c r="C914" s="69"/>
      <c r="F914" s="69"/>
      <c r="I914" s="69"/>
      <c r="L914" s="69"/>
      <c r="O914" s="69"/>
      <c r="R914" s="69"/>
    </row>
    <row r="915" spans="3:18" ht="16.5">
      <c r="C915" s="69"/>
      <c r="F915" s="69"/>
      <c r="I915" s="69"/>
      <c r="L915" s="69"/>
      <c r="O915" s="69"/>
      <c r="R915" s="69"/>
    </row>
    <row r="916" spans="3:18" ht="16.5">
      <c r="C916" s="69"/>
      <c r="F916" s="69"/>
      <c r="I916" s="69"/>
      <c r="L916" s="69"/>
      <c r="O916" s="69"/>
      <c r="R916" s="69"/>
    </row>
    <row r="917" spans="3:18" ht="16.5">
      <c r="C917" s="69"/>
      <c r="F917" s="69"/>
      <c r="I917" s="69"/>
      <c r="L917" s="69"/>
      <c r="O917" s="69"/>
      <c r="R917" s="69"/>
    </row>
    <row r="918" spans="3:18" ht="16.5">
      <c r="C918" s="69"/>
      <c r="F918" s="69"/>
      <c r="I918" s="69"/>
      <c r="L918" s="69"/>
      <c r="O918" s="69"/>
      <c r="R918" s="69"/>
    </row>
    <row r="919" spans="3:18" ht="16.5">
      <c r="C919" s="69"/>
      <c r="F919" s="69"/>
      <c r="I919" s="69"/>
      <c r="L919" s="69"/>
      <c r="O919" s="69"/>
      <c r="R919" s="69"/>
    </row>
    <row r="920" spans="3:18" ht="16.5">
      <c r="C920" s="69"/>
      <c r="F920" s="69"/>
      <c r="I920" s="69"/>
      <c r="L920" s="69"/>
      <c r="O920" s="69"/>
      <c r="R920" s="69"/>
    </row>
    <row r="921" spans="3:18" ht="16.5">
      <c r="C921" s="69"/>
      <c r="F921" s="69"/>
      <c r="I921" s="69"/>
      <c r="L921" s="69"/>
      <c r="O921" s="69"/>
      <c r="R921" s="69"/>
    </row>
    <row r="922" spans="3:18" ht="16.5">
      <c r="C922" s="69"/>
      <c r="F922" s="69"/>
      <c r="I922" s="69"/>
      <c r="L922" s="69"/>
      <c r="O922" s="69"/>
      <c r="R922" s="69"/>
    </row>
    <row r="923" spans="3:18" ht="16.5">
      <c r="C923" s="69"/>
      <c r="F923" s="69"/>
      <c r="I923" s="69"/>
      <c r="L923" s="69"/>
      <c r="O923" s="69"/>
      <c r="R923" s="69"/>
    </row>
    <row r="924" spans="3:18" ht="16.5">
      <c r="C924" s="69"/>
      <c r="F924" s="69"/>
      <c r="I924" s="69"/>
      <c r="L924" s="69"/>
      <c r="O924" s="69"/>
      <c r="R924" s="69"/>
    </row>
    <row r="925" spans="3:18" ht="16.5">
      <c r="C925" s="69"/>
      <c r="F925" s="69"/>
      <c r="I925" s="69"/>
      <c r="L925" s="69"/>
      <c r="O925" s="69"/>
      <c r="R925" s="69"/>
    </row>
    <row r="926" spans="3:18" ht="16.5">
      <c r="C926" s="69"/>
      <c r="F926" s="69"/>
      <c r="I926" s="69"/>
      <c r="L926" s="69"/>
      <c r="O926" s="69"/>
      <c r="R926" s="69"/>
    </row>
    <row r="927" spans="3:18" ht="16.5">
      <c r="C927" s="69"/>
      <c r="F927" s="69"/>
      <c r="I927" s="69"/>
      <c r="L927" s="69"/>
      <c r="O927" s="69"/>
      <c r="R927" s="69"/>
    </row>
    <row r="928" spans="3:18" ht="16.5">
      <c r="C928" s="69"/>
      <c r="F928" s="69"/>
      <c r="I928" s="69"/>
      <c r="L928" s="69"/>
      <c r="O928" s="69"/>
      <c r="R928" s="69"/>
    </row>
    <row r="929" spans="3:18" ht="16.5">
      <c r="C929" s="69"/>
      <c r="F929" s="69"/>
      <c r="I929" s="69"/>
      <c r="L929" s="69"/>
      <c r="O929" s="69"/>
      <c r="R929" s="69"/>
    </row>
    <row r="930" spans="3:18" ht="16.5">
      <c r="C930" s="69"/>
      <c r="F930" s="69"/>
      <c r="I930" s="69"/>
      <c r="L930" s="69"/>
      <c r="O930" s="69"/>
      <c r="R930" s="69"/>
    </row>
    <row r="931" spans="3:18" ht="16.5">
      <c r="C931" s="69"/>
      <c r="F931" s="69"/>
      <c r="I931" s="69"/>
      <c r="L931" s="69"/>
      <c r="O931" s="69"/>
      <c r="R931" s="69"/>
    </row>
    <row r="932" spans="3:18" ht="16.5">
      <c r="C932" s="69"/>
      <c r="F932" s="69"/>
      <c r="I932" s="69"/>
      <c r="L932" s="69"/>
      <c r="O932" s="69"/>
      <c r="R932" s="69"/>
    </row>
    <row r="933" spans="3:18" ht="16.5">
      <c r="C933" s="69"/>
      <c r="F933" s="69"/>
      <c r="I933" s="69"/>
      <c r="L933" s="69"/>
      <c r="O933" s="69"/>
      <c r="R933" s="69"/>
    </row>
    <row r="934" spans="3:18" ht="16.5">
      <c r="C934" s="69"/>
      <c r="F934" s="69"/>
      <c r="I934" s="69"/>
      <c r="L934" s="69"/>
      <c r="O934" s="69"/>
      <c r="R934" s="69"/>
    </row>
    <row r="935" spans="3:18" ht="16.5">
      <c r="C935" s="69"/>
      <c r="F935" s="69"/>
      <c r="I935" s="69"/>
      <c r="L935" s="69"/>
      <c r="O935" s="69"/>
      <c r="R935" s="69"/>
    </row>
    <row r="936" spans="3:18" ht="16.5">
      <c r="C936" s="69"/>
      <c r="F936" s="69"/>
      <c r="I936" s="69"/>
      <c r="L936" s="69"/>
      <c r="O936" s="69"/>
      <c r="R936" s="69"/>
    </row>
    <row r="937" spans="3:18" ht="16.5">
      <c r="C937" s="69"/>
      <c r="F937" s="69"/>
      <c r="I937" s="69"/>
      <c r="L937" s="69"/>
      <c r="O937" s="69"/>
      <c r="R937" s="69"/>
    </row>
    <row r="938" spans="3:18" ht="16.5">
      <c r="C938" s="69"/>
      <c r="F938" s="69"/>
      <c r="I938" s="69"/>
      <c r="L938" s="69"/>
      <c r="O938" s="69"/>
      <c r="R938" s="69"/>
    </row>
    <row r="939" spans="3:18" ht="16.5">
      <c r="C939" s="69"/>
      <c r="F939" s="69"/>
      <c r="I939" s="69"/>
      <c r="L939" s="69"/>
      <c r="O939" s="69"/>
      <c r="R939" s="69"/>
    </row>
    <row r="940" spans="3:18" ht="16.5">
      <c r="C940" s="69"/>
      <c r="F940" s="69"/>
      <c r="I940" s="69"/>
      <c r="L940" s="69"/>
      <c r="O940" s="69"/>
      <c r="R940" s="69"/>
    </row>
    <row r="941" spans="3:18" ht="16.5">
      <c r="C941" s="69"/>
      <c r="F941" s="69"/>
      <c r="I941" s="69"/>
      <c r="L941" s="69"/>
      <c r="O941" s="69"/>
      <c r="R941" s="69"/>
    </row>
    <row r="942" spans="3:18" ht="16.5">
      <c r="C942" s="69"/>
      <c r="F942" s="69"/>
      <c r="I942" s="69"/>
      <c r="L942" s="69"/>
      <c r="O942" s="69"/>
      <c r="R942" s="69"/>
    </row>
    <row r="943" spans="3:18" ht="16.5">
      <c r="C943" s="69"/>
      <c r="F943" s="69"/>
      <c r="I943" s="69"/>
      <c r="L943" s="69"/>
      <c r="O943" s="69"/>
      <c r="R943" s="69"/>
    </row>
    <row r="944" spans="3:18" ht="16.5">
      <c r="C944" s="69"/>
      <c r="F944" s="69"/>
      <c r="I944" s="69"/>
      <c r="L944" s="69"/>
      <c r="O944" s="69"/>
      <c r="R944" s="69"/>
    </row>
    <row r="945" spans="3:18" ht="16.5">
      <c r="C945" s="69"/>
      <c r="F945" s="69"/>
      <c r="I945" s="69"/>
      <c r="L945" s="69"/>
      <c r="O945" s="69"/>
      <c r="R945" s="69"/>
    </row>
    <row r="946" spans="3:18" ht="16.5">
      <c r="C946" s="69"/>
      <c r="F946" s="69"/>
      <c r="I946" s="69"/>
      <c r="L946" s="69"/>
      <c r="O946" s="69"/>
      <c r="R946" s="69"/>
    </row>
    <row r="947" spans="3:18" ht="16.5">
      <c r="C947" s="69"/>
      <c r="F947" s="69"/>
      <c r="I947" s="69"/>
      <c r="L947" s="69"/>
      <c r="O947" s="69"/>
      <c r="R947" s="69"/>
    </row>
    <row r="948" spans="3:18" ht="16.5">
      <c r="C948" s="69"/>
      <c r="F948" s="69"/>
      <c r="I948" s="69"/>
      <c r="L948" s="69"/>
      <c r="O948" s="69"/>
      <c r="R948" s="69"/>
    </row>
    <row r="949" spans="3:18" ht="16.5">
      <c r="C949" s="69"/>
      <c r="F949" s="69"/>
      <c r="I949" s="69"/>
      <c r="L949" s="69"/>
      <c r="O949" s="69"/>
      <c r="R949" s="69"/>
    </row>
    <row r="950" spans="3:18" ht="16.5">
      <c r="C950" s="69"/>
      <c r="F950" s="69"/>
      <c r="I950" s="69"/>
      <c r="L950" s="69"/>
      <c r="O950" s="69"/>
      <c r="R950" s="69"/>
    </row>
    <row r="951" spans="3:18" ht="16.5">
      <c r="C951" s="69"/>
      <c r="F951" s="69"/>
      <c r="I951" s="69"/>
      <c r="L951" s="69"/>
      <c r="O951" s="69"/>
      <c r="R951" s="69"/>
    </row>
    <row r="952" spans="3:18" ht="16.5">
      <c r="C952" s="69"/>
      <c r="F952" s="69"/>
      <c r="I952" s="69"/>
      <c r="L952" s="69"/>
      <c r="O952" s="69"/>
      <c r="R952" s="69"/>
    </row>
    <row r="953" spans="3:18" ht="16.5">
      <c r="C953" s="69"/>
      <c r="F953" s="69"/>
      <c r="I953" s="69"/>
      <c r="L953" s="69"/>
      <c r="O953" s="69"/>
      <c r="R953" s="69"/>
    </row>
    <row r="954" spans="3:18" ht="16.5">
      <c r="C954" s="69"/>
      <c r="F954" s="69"/>
      <c r="I954" s="69"/>
      <c r="L954" s="69"/>
      <c r="O954" s="69"/>
      <c r="R954" s="69"/>
    </row>
    <row r="955" spans="3:18" ht="16.5">
      <c r="C955" s="69"/>
      <c r="F955" s="69"/>
      <c r="I955" s="69"/>
      <c r="L955" s="69"/>
      <c r="O955" s="69"/>
      <c r="R955" s="69"/>
    </row>
    <row r="956" spans="3:18" ht="16.5">
      <c r="C956" s="69"/>
      <c r="F956" s="69"/>
      <c r="I956" s="69"/>
      <c r="L956" s="69"/>
      <c r="O956" s="69"/>
      <c r="R956" s="69"/>
    </row>
    <row r="957" spans="3:18" ht="16.5">
      <c r="C957" s="69"/>
      <c r="F957" s="69"/>
      <c r="I957" s="69"/>
      <c r="L957" s="69"/>
      <c r="O957" s="69"/>
      <c r="R957" s="69"/>
    </row>
    <row r="958" spans="3:18" ht="16.5">
      <c r="C958" s="69"/>
      <c r="F958" s="69"/>
      <c r="I958" s="69"/>
      <c r="L958" s="69"/>
      <c r="O958" s="69"/>
      <c r="R958" s="69"/>
    </row>
    <row r="959" spans="3:18" ht="16.5">
      <c r="C959" s="69"/>
      <c r="F959" s="69"/>
      <c r="I959" s="69"/>
      <c r="L959" s="69"/>
      <c r="O959" s="69"/>
      <c r="R959" s="69"/>
    </row>
    <row r="960" spans="3:18" ht="16.5">
      <c r="C960" s="69"/>
      <c r="F960" s="69"/>
      <c r="I960" s="69"/>
      <c r="L960" s="69"/>
      <c r="O960" s="69"/>
      <c r="R960" s="69"/>
    </row>
    <row r="961" spans="3:18" ht="16.5">
      <c r="C961" s="69"/>
      <c r="F961" s="69"/>
      <c r="I961" s="69"/>
      <c r="L961" s="69"/>
      <c r="O961" s="69"/>
      <c r="R961" s="69"/>
    </row>
    <row r="962" spans="3:18" ht="16.5">
      <c r="C962" s="69"/>
      <c r="F962" s="69"/>
      <c r="I962" s="69"/>
      <c r="L962" s="69"/>
      <c r="O962" s="69"/>
      <c r="R962" s="69"/>
    </row>
    <row r="963" spans="3:18" ht="16.5">
      <c r="C963" s="69"/>
      <c r="F963" s="69"/>
      <c r="I963" s="69"/>
      <c r="L963" s="69"/>
      <c r="O963" s="69"/>
      <c r="R963" s="69"/>
    </row>
    <row r="964" spans="3:18" ht="16.5">
      <c r="C964" s="69"/>
      <c r="F964" s="69"/>
      <c r="I964" s="69"/>
      <c r="L964" s="69"/>
      <c r="O964" s="69"/>
      <c r="R964" s="69"/>
    </row>
    <row r="965" spans="3:18" ht="16.5">
      <c r="C965" s="69"/>
      <c r="F965" s="69"/>
      <c r="I965" s="69"/>
      <c r="L965" s="69"/>
      <c r="O965" s="69"/>
      <c r="R965" s="69"/>
    </row>
    <row r="966" spans="3:18" ht="16.5">
      <c r="C966" s="69"/>
      <c r="F966" s="69"/>
      <c r="I966" s="69"/>
      <c r="L966" s="69"/>
      <c r="O966" s="69"/>
      <c r="R966" s="69"/>
    </row>
    <row r="967" spans="3:18" ht="16.5">
      <c r="C967" s="69"/>
      <c r="F967" s="69"/>
      <c r="I967" s="69"/>
      <c r="L967" s="69"/>
      <c r="O967" s="69"/>
      <c r="R967" s="69"/>
    </row>
    <row r="968" spans="3:18" ht="16.5">
      <c r="C968" s="69"/>
      <c r="F968" s="69"/>
      <c r="I968" s="69"/>
      <c r="L968" s="69"/>
      <c r="O968" s="69"/>
      <c r="R968" s="69"/>
    </row>
    <row r="969" spans="3:18" ht="16.5">
      <c r="C969" s="69"/>
      <c r="F969" s="69"/>
      <c r="I969" s="69"/>
      <c r="L969" s="69"/>
      <c r="O969" s="69"/>
      <c r="R969" s="69"/>
    </row>
    <row r="970" spans="3:18" ht="16.5">
      <c r="C970" s="69"/>
      <c r="F970" s="69"/>
      <c r="I970" s="69"/>
      <c r="L970" s="69"/>
      <c r="O970" s="69"/>
      <c r="R970" s="69"/>
    </row>
    <row r="971" spans="3:18" ht="16.5">
      <c r="C971" s="69"/>
      <c r="F971" s="69"/>
      <c r="I971" s="69"/>
      <c r="L971" s="69"/>
      <c r="O971" s="69"/>
      <c r="R971" s="69"/>
    </row>
    <row r="972" spans="3:18" ht="16.5">
      <c r="C972" s="69"/>
      <c r="F972" s="69"/>
      <c r="I972" s="69"/>
      <c r="L972" s="69"/>
      <c r="O972" s="69"/>
      <c r="R972" s="69"/>
    </row>
    <row r="973" spans="3:18" ht="16.5">
      <c r="C973" s="69"/>
      <c r="F973" s="69"/>
      <c r="I973" s="69"/>
      <c r="L973" s="69"/>
      <c r="O973" s="69"/>
      <c r="R973" s="69"/>
    </row>
    <row r="974" spans="3:18" ht="16.5">
      <c r="C974" s="69"/>
      <c r="F974" s="69"/>
      <c r="I974" s="69"/>
      <c r="L974" s="69"/>
      <c r="O974" s="69"/>
      <c r="R974" s="69"/>
    </row>
    <row r="975" spans="3:18" ht="16.5">
      <c r="C975" s="69"/>
      <c r="F975" s="69"/>
      <c r="I975" s="69"/>
      <c r="L975" s="69"/>
      <c r="O975" s="69"/>
      <c r="R975" s="69"/>
    </row>
    <row r="976" spans="3:18" ht="16.5">
      <c r="C976" s="69"/>
      <c r="F976" s="69"/>
      <c r="I976" s="69"/>
      <c r="L976" s="69"/>
      <c r="O976" s="69"/>
      <c r="R976" s="69"/>
    </row>
    <row r="977" spans="3:18" ht="16.5">
      <c r="C977" s="69"/>
      <c r="F977" s="69"/>
      <c r="I977" s="69"/>
      <c r="L977" s="69"/>
      <c r="O977" s="69"/>
      <c r="R977" s="69"/>
    </row>
    <row r="978" spans="3:18" ht="16.5">
      <c r="C978" s="69"/>
      <c r="F978" s="69"/>
      <c r="I978" s="69"/>
      <c r="L978" s="69"/>
      <c r="O978" s="69"/>
      <c r="R978" s="69"/>
    </row>
    <row r="979" spans="3:18" ht="16.5">
      <c r="C979" s="69"/>
      <c r="F979" s="69"/>
      <c r="I979" s="69"/>
      <c r="L979" s="69"/>
      <c r="O979" s="69"/>
      <c r="R979" s="69"/>
    </row>
    <row r="980" spans="3:18" ht="16.5">
      <c r="C980" s="69"/>
      <c r="F980" s="69"/>
      <c r="I980" s="69"/>
      <c r="L980" s="69"/>
      <c r="O980" s="69"/>
      <c r="R980" s="69"/>
    </row>
    <row r="981" spans="3:18" ht="16.5">
      <c r="C981" s="69"/>
      <c r="F981" s="69"/>
      <c r="I981" s="69"/>
      <c r="L981" s="69"/>
      <c r="O981" s="69"/>
      <c r="R981" s="69"/>
    </row>
    <row r="982" spans="3:18" ht="16.5">
      <c r="C982" s="69"/>
      <c r="F982" s="69"/>
      <c r="I982" s="69"/>
      <c r="L982" s="69"/>
      <c r="O982" s="69"/>
      <c r="R982" s="69"/>
    </row>
    <row r="983" spans="3:18" ht="16.5">
      <c r="C983" s="69"/>
      <c r="F983" s="69"/>
      <c r="I983" s="69"/>
      <c r="L983" s="69"/>
      <c r="O983" s="69"/>
      <c r="R983" s="69"/>
    </row>
    <row r="984" spans="3:18" ht="16.5">
      <c r="C984" s="69"/>
      <c r="F984" s="69"/>
      <c r="I984" s="69"/>
      <c r="L984" s="69"/>
      <c r="O984" s="69"/>
      <c r="R984" s="69"/>
    </row>
    <row r="985" spans="3:18" ht="16.5">
      <c r="C985" s="69"/>
      <c r="F985" s="69"/>
      <c r="I985" s="69"/>
      <c r="L985" s="69"/>
      <c r="O985" s="69"/>
      <c r="R985" s="69"/>
    </row>
    <row r="986" spans="3:18" ht="16.5">
      <c r="C986" s="69"/>
      <c r="F986" s="69"/>
      <c r="I986" s="69"/>
      <c r="L986" s="69"/>
      <c r="O986" s="69"/>
      <c r="R986" s="69"/>
    </row>
    <row r="987" spans="3:18" ht="16.5">
      <c r="C987" s="69"/>
      <c r="F987" s="69"/>
      <c r="I987" s="69"/>
      <c r="L987" s="69"/>
      <c r="O987" s="69"/>
      <c r="R987" s="69"/>
    </row>
    <row r="988" spans="3:18" ht="16.5">
      <c r="C988" s="69"/>
      <c r="F988" s="69"/>
      <c r="I988" s="69"/>
      <c r="L988" s="69"/>
      <c r="O988" s="69"/>
      <c r="R988" s="69"/>
    </row>
    <row r="989" spans="3:18" ht="16.5">
      <c r="C989" s="69"/>
      <c r="F989" s="69"/>
      <c r="I989" s="69"/>
      <c r="L989" s="69"/>
      <c r="O989" s="69"/>
      <c r="R989" s="69"/>
    </row>
    <row r="990" spans="3:18" ht="16.5">
      <c r="C990" s="69"/>
      <c r="F990" s="69"/>
      <c r="I990" s="69"/>
      <c r="L990" s="69"/>
      <c r="O990" s="69"/>
      <c r="R990" s="69"/>
    </row>
    <row r="991" spans="3:18" ht="16.5">
      <c r="C991" s="69"/>
      <c r="F991" s="69"/>
      <c r="I991" s="69"/>
      <c r="L991" s="69"/>
      <c r="O991" s="69"/>
      <c r="R991" s="69"/>
    </row>
    <row r="992" spans="3:18" ht="16.5">
      <c r="C992" s="69"/>
      <c r="F992" s="69"/>
      <c r="I992" s="69"/>
      <c r="L992" s="69"/>
      <c r="O992" s="69"/>
      <c r="R992" s="69"/>
    </row>
    <row r="993" spans="3:18" ht="16.5">
      <c r="C993" s="69"/>
      <c r="F993" s="69"/>
      <c r="I993" s="69"/>
      <c r="L993" s="69"/>
      <c r="O993" s="69"/>
      <c r="R993" s="69"/>
    </row>
    <row r="994" spans="3:18" ht="16.5">
      <c r="C994" s="69"/>
      <c r="F994" s="69"/>
      <c r="I994" s="69"/>
      <c r="L994" s="69"/>
      <c r="O994" s="69"/>
      <c r="R994" s="69"/>
    </row>
    <row r="995" spans="3:18" ht="16.5">
      <c r="C995" s="69"/>
      <c r="F995" s="69"/>
      <c r="I995" s="69"/>
      <c r="L995" s="69"/>
      <c r="O995" s="69"/>
      <c r="R995" s="69"/>
    </row>
    <row r="996" spans="3:18" ht="16.5">
      <c r="C996" s="69"/>
      <c r="F996" s="69"/>
      <c r="I996" s="69"/>
      <c r="L996" s="69"/>
      <c r="O996" s="69"/>
      <c r="R996" s="69"/>
    </row>
    <row r="997" spans="3:18" ht="16.5">
      <c r="C997" s="69"/>
      <c r="F997" s="69"/>
      <c r="I997" s="69"/>
      <c r="L997" s="69"/>
      <c r="O997" s="69"/>
      <c r="R997" s="69"/>
    </row>
    <row r="998" spans="3:18" ht="16.5">
      <c r="C998" s="69"/>
      <c r="F998" s="69"/>
      <c r="I998" s="69"/>
      <c r="L998" s="69"/>
      <c r="O998" s="69"/>
      <c r="R998" s="69"/>
    </row>
    <row r="999" spans="3:18" ht="16.5">
      <c r="C999" s="69"/>
      <c r="F999" s="69"/>
      <c r="I999" s="69"/>
      <c r="L999" s="69"/>
      <c r="O999" s="69"/>
      <c r="R999" s="69"/>
    </row>
    <row r="1000" spans="3:18" ht="16.5">
      <c r="C1000" s="69"/>
      <c r="F1000" s="69"/>
      <c r="I1000" s="69"/>
      <c r="L1000" s="69"/>
      <c r="O1000" s="69"/>
      <c r="R1000" s="69"/>
    </row>
    <row r="1001" spans="3:18" ht="16.5">
      <c r="C1001" s="69"/>
      <c r="F1001" s="69"/>
      <c r="I1001" s="69"/>
      <c r="L1001" s="69"/>
      <c r="O1001" s="69"/>
      <c r="R1001" s="69"/>
    </row>
    <row r="1002" spans="3:18" ht="16.5">
      <c r="C1002" s="69"/>
      <c r="F1002" s="69"/>
      <c r="I1002" s="69"/>
      <c r="L1002" s="69"/>
      <c r="O1002" s="69"/>
      <c r="R1002" s="69"/>
    </row>
    <row r="1003" spans="3:18" ht="16.5">
      <c r="C1003" s="69"/>
      <c r="F1003" s="69"/>
      <c r="I1003" s="69"/>
      <c r="L1003" s="69"/>
      <c r="O1003" s="69"/>
      <c r="R1003" s="69"/>
    </row>
    <row r="1004" spans="3:18" ht="16.5">
      <c r="C1004" s="69"/>
      <c r="F1004" s="69"/>
      <c r="I1004" s="69"/>
      <c r="L1004" s="69"/>
      <c r="O1004" s="69"/>
      <c r="R1004" s="69"/>
    </row>
    <row r="1005" spans="3:18" ht="16.5">
      <c r="C1005" s="69"/>
      <c r="F1005" s="69"/>
      <c r="I1005" s="69"/>
      <c r="L1005" s="69"/>
      <c r="O1005" s="69"/>
      <c r="R1005" s="69"/>
    </row>
    <row r="1006" spans="3:18" ht="16.5">
      <c r="C1006" s="69"/>
      <c r="F1006" s="69"/>
      <c r="I1006" s="69"/>
      <c r="L1006" s="69"/>
      <c r="O1006" s="69"/>
      <c r="R1006" s="69"/>
    </row>
    <row r="1007" spans="3:18" ht="16.5">
      <c r="C1007" s="69"/>
      <c r="F1007" s="69"/>
      <c r="I1007" s="69"/>
      <c r="L1007" s="69"/>
      <c r="O1007" s="69"/>
      <c r="R1007" s="69"/>
    </row>
    <row r="1008" spans="3:18" ht="16.5">
      <c r="C1008" s="69"/>
      <c r="F1008" s="69"/>
      <c r="I1008" s="69"/>
      <c r="L1008" s="69"/>
      <c r="O1008" s="69"/>
      <c r="R1008" s="69"/>
    </row>
    <row r="1009" spans="3:18" ht="16.5">
      <c r="C1009" s="69"/>
      <c r="F1009" s="69"/>
      <c r="I1009" s="69"/>
      <c r="L1009" s="69"/>
      <c r="O1009" s="69"/>
      <c r="R1009" s="69"/>
    </row>
    <row r="1010" spans="3:18" ht="16.5">
      <c r="C1010" s="69"/>
      <c r="F1010" s="69"/>
      <c r="I1010" s="69"/>
      <c r="L1010" s="69"/>
      <c r="O1010" s="69"/>
      <c r="R1010" s="69"/>
    </row>
    <row r="1011" spans="3:18" ht="16.5">
      <c r="C1011" s="69"/>
      <c r="F1011" s="69"/>
      <c r="I1011" s="69"/>
      <c r="L1011" s="69"/>
      <c r="O1011" s="69"/>
      <c r="R1011" s="69"/>
    </row>
    <row r="1012" spans="3:18" ht="16.5">
      <c r="C1012" s="69"/>
      <c r="F1012" s="69"/>
      <c r="I1012" s="69"/>
      <c r="L1012" s="69"/>
      <c r="O1012" s="69"/>
      <c r="R1012" s="69"/>
    </row>
    <row r="1013" spans="3:18" ht="16.5">
      <c r="C1013" s="69"/>
      <c r="F1013" s="69"/>
      <c r="I1013" s="69"/>
      <c r="L1013" s="69"/>
      <c r="O1013" s="69"/>
      <c r="R1013" s="69"/>
    </row>
    <row r="1014" spans="3:18" ht="16.5">
      <c r="C1014" s="69"/>
      <c r="F1014" s="69"/>
      <c r="I1014" s="69"/>
      <c r="L1014" s="69"/>
      <c r="O1014" s="69"/>
      <c r="R1014" s="69"/>
    </row>
    <row r="1015" spans="3:18" ht="16.5">
      <c r="C1015" s="69"/>
      <c r="F1015" s="69"/>
      <c r="I1015" s="69"/>
      <c r="L1015" s="69"/>
      <c r="O1015" s="69"/>
      <c r="R1015" s="69"/>
    </row>
    <row r="1016" spans="3:18" ht="16.5">
      <c r="C1016" s="69"/>
      <c r="F1016" s="69"/>
      <c r="I1016" s="69"/>
      <c r="L1016" s="69"/>
      <c r="O1016" s="69"/>
      <c r="R1016" s="69"/>
    </row>
    <row r="1017" spans="3:18" ht="16.5">
      <c r="C1017" s="69"/>
      <c r="F1017" s="69"/>
      <c r="I1017" s="69"/>
      <c r="L1017" s="69"/>
      <c r="O1017" s="69"/>
      <c r="R1017" s="69"/>
    </row>
    <row r="1018" spans="3:18" ht="16.5">
      <c r="C1018" s="69"/>
      <c r="F1018" s="69"/>
      <c r="I1018" s="69"/>
      <c r="L1018" s="69"/>
      <c r="O1018" s="69"/>
      <c r="R1018" s="69"/>
    </row>
    <row r="1019" spans="3:18" ht="16.5">
      <c r="C1019" s="69"/>
      <c r="F1019" s="69"/>
      <c r="I1019" s="69"/>
      <c r="L1019" s="69"/>
      <c r="O1019" s="69"/>
      <c r="R1019" s="69"/>
    </row>
    <row r="1020" spans="3:18" ht="16.5">
      <c r="C1020" s="69"/>
      <c r="F1020" s="69"/>
      <c r="I1020" s="69"/>
      <c r="L1020" s="69"/>
      <c r="O1020" s="69"/>
      <c r="R1020" s="69"/>
    </row>
    <row r="1021" spans="3:18" ht="16.5">
      <c r="C1021" s="69"/>
      <c r="F1021" s="69"/>
      <c r="I1021" s="69"/>
      <c r="L1021" s="69"/>
      <c r="O1021" s="69"/>
      <c r="R1021" s="69"/>
    </row>
    <row r="1022" spans="3:18" ht="16.5">
      <c r="C1022" s="69"/>
      <c r="F1022" s="69"/>
      <c r="I1022" s="69"/>
      <c r="L1022" s="69"/>
      <c r="O1022" s="69"/>
      <c r="R1022" s="69"/>
    </row>
    <row r="1023" spans="3:18" ht="16.5">
      <c r="C1023" s="69"/>
      <c r="F1023" s="69"/>
      <c r="I1023" s="69"/>
      <c r="L1023" s="69"/>
      <c r="O1023" s="69"/>
      <c r="R1023" s="69"/>
    </row>
    <row r="1024" spans="3:18" ht="16.5">
      <c r="C1024" s="69"/>
      <c r="F1024" s="69"/>
      <c r="I1024" s="69"/>
      <c r="L1024" s="69"/>
      <c r="O1024" s="69"/>
      <c r="R1024" s="69"/>
    </row>
    <row r="1025" spans="3:18" ht="16.5">
      <c r="C1025" s="69"/>
      <c r="F1025" s="69"/>
      <c r="I1025" s="69"/>
      <c r="L1025" s="69"/>
      <c r="O1025" s="69"/>
      <c r="R1025" s="69"/>
    </row>
    <row r="1026" spans="3:18" ht="16.5">
      <c r="C1026" s="69"/>
      <c r="F1026" s="69"/>
      <c r="I1026" s="69"/>
      <c r="L1026" s="69"/>
      <c r="O1026" s="69"/>
      <c r="R1026" s="69"/>
    </row>
    <row r="1027" spans="3:18" ht="16.5">
      <c r="C1027" s="69"/>
      <c r="F1027" s="69"/>
      <c r="I1027" s="69"/>
      <c r="L1027" s="69"/>
      <c r="O1027" s="69"/>
      <c r="R1027" s="69"/>
    </row>
    <row r="1028" spans="3:18" ht="16.5">
      <c r="C1028" s="69"/>
      <c r="F1028" s="69"/>
      <c r="I1028" s="69"/>
      <c r="L1028" s="69"/>
      <c r="O1028" s="69"/>
      <c r="R1028" s="69"/>
    </row>
    <row r="1029" spans="3:18" ht="16.5">
      <c r="C1029" s="69"/>
      <c r="F1029" s="69"/>
      <c r="I1029" s="69"/>
      <c r="L1029" s="69"/>
      <c r="O1029" s="69"/>
      <c r="R1029" s="69"/>
    </row>
    <row r="1030" spans="3:18" ht="16.5">
      <c r="C1030" s="69"/>
      <c r="F1030" s="69"/>
      <c r="I1030" s="69"/>
      <c r="L1030" s="69"/>
      <c r="O1030" s="69"/>
      <c r="R1030" s="69"/>
    </row>
    <row r="1031" spans="3:18" ht="16.5">
      <c r="C1031" s="69"/>
      <c r="F1031" s="69"/>
      <c r="I1031" s="69"/>
      <c r="L1031" s="69"/>
      <c r="O1031" s="69"/>
      <c r="R1031" s="69"/>
    </row>
    <row r="1032" spans="3:18" ht="16.5">
      <c r="C1032" s="69"/>
      <c r="F1032" s="69"/>
      <c r="I1032" s="69"/>
      <c r="L1032" s="69"/>
      <c r="O1032" s="69"/>
      <c r="R1032" s="69"/>
    </row>
    <row r="1033" spans="3:18" ht="16.5">
      <c r="C1033" s="69"/>
      <c r="F1033" s="69"/>
      <c r="I1033" s="69"/>
      <c r="L1033" s="69"/>
      <c r="O1033" s="69"/>
      <c r="R1033" s="69"/>
    </row>
    <row r="1034" spans="3:18" ht="16.5">
      <c r="C1034" s="69"/>
      <c r="F1034" s="69"/>
      <c r="I1034" s="69"/>
      <c r="L1034" s="69"/>
      <c r="O1034" s="69"/>
      <c r="R1034" s="69"/>
    </row>
    <row r="1035" spans="3:18" ht="16.5">
      <c r="C1035" s="69"/>
      <c r="F1035" s="69"/>
      <c r="I1035" s="69"/>
      <c r="L1035" s="69"/>
      <c r="O1035" s="69"/>
      <c r="R1035" s="69"/>
    </row>
    <row r="1036" spans="3:18" ht="16.5">
      <c r="C1036" s="69"/>
      <c r="F1036" s="69"/>
      <c r="I1036" s="69"/>
      <c r="L1036" s="69"/>
      <c r="O1036" s="69"/>
      <c r="R1036" s="69"/>
    </row>
    <row r="1037" spans="3:18" ht="16.5">
      <c r="C1037" s="69"/>
      <c r="F1037" s="69"/>
      <c r="I1037" s="69"/>
      <c r="L1037" s="69"/>
      <c r="O1037" s="69"/>
      <c r="R1037" s="69"/>
    </row>
    <row r="1038" spans="3:18" ht="16.5">
      <c r="C1038" s="69"/>
      <c r="F1038" s="69"/>
      <c r="I1038" s="69"/>
      <c r="L1038" s="69"/>
      <c r="O1038" s="69"/>
      <c r="R1038" s="69"/>
    </row>
    <row r="1039" spans="3:18" ht="16.5">
      <c r="C1039" s="69"/>
      <c r="F1039" s="69"/>
      <c r="I1039" s="69"/>
      <c r="L1039" s="69"/>
      <c r="O1039" s="69"/>
      <c r="R1039" s="69"/>
    </row>
    <row r="1040" spans="3:18" ht="16.5">
      <c r="C1040" s="69"/>
      <c r="F1040" s="69"/>
      <c r="I1040" s="69"/>
      <c r="L1040" s="69"/>
      <c r="O1040" s="69"/>
      <c r="R1040" s="69"/>
    </row>
    <row r="1041" spans="3:18" ht="16.5">
      <c r="C1041" s="69"/>
      <c r="F1041" s="69"/>
      <c r="I1041" s="69"/>
      <c r="L1041" s="69"/>
      <c r="O1041" s="69"/>
      <c r="R1041" s="69"/>
    </row>
    <row r="1042" spans="3:18" ht="16.5">
      <c r="C1042" s="69"/>
      <c r="F1042" s="69"/>
      <c r="I1042" s="69"/>
      <c r="L1042" s="69"/>
      <c r="O1042" s="69"/>
      <c r="R1042" s="69"/>
    </row>
    <row r="1043" spans="3:18" ht="16.5">
      <c r="C1043" s="69"/>
      <c r="F1043" s="69"/>
      <c r="I1043" s="69"/>
      <c r="L1043" s="69"/>
      <c r="O1043" s="69"/>
      <c r="R1043" s="69"/>
    </row>
    <row r="1044" spans="3:18" ht="16.5">
      <c r="C1044" s="69"/>
      <c r="F1044" s="69"/>
      <c r="I1044" s="69"/>
      <c r="L1044" s="69"/>
      <c r="O1044" s="69"/>
      <c r="R1044" s="69"/>
    </row>
    <row r="1045" spans="3:18" ht="16.5">
      <c r="C1045" s="69"/>
      <c r="F1045" s="69"/>
      <c r="I1045" s="69"/>
      <c r="L1045" s="69"/>
      <c r="O1045" s="69"/>
      <c r="R1045" s="69"/>
    </row>
    <row r="1046" spans="3:18" ht="16.5">
      <c r="C1046" s="69"/>
      <c r="F1046" s="69"/>
      <c r="I1046" s="69"/>
      <c r="L1046" s="69"/>
      <c r="O1046" s="69"/>
      <c r="R1046" s="69"/>
    </row>
    <row r="1047" spans="3:18" ht="16.5">
      <c r="C1047" s="69"/>
      <c r="F1047" s="69"/>
      <c r="I1047" s="69"/>
      <c r="L1047" s="69"/>
      <c r="O1047" s="69"/>
      <c r="R1047" s="69"/>
    </row>
    <row r="1048" spans="3:18" ht="16.5">
      <c r="C1048" s="69"/>
      <c r="F1048" s="69"/>
      <c r="I1048" s="69"/>
      <c r="L1048" s="69"/>
      <c r="O1048" s="69"/>
      <c r="R1048" s="69"/>
    </row>
    <row r="1049" spans="3:18" ht="16.5">
      <c r="C1049" s="69"/>
      <c r="F1049" s="69"/>
      <c r="I1049" s="69"/>
      <c r="L1049" s="69"/>
      <c r="O1049" s="69"/>
      <c r="R1049" s="69"/>
    </row>
    <row r="1050" spans="3:18" ht="16.5">
      <c r="C1050" s="69"/>
      <c r="F1050" s="69"/>
      <c r="I1050" s="69"/>
      <c r="L1050" s="69"/>
      <c r="O1050" s="69"/>
      <c r="R1050" s="69"/>
    </row>
    <row r="1051" spans="3:18" ht="16.5">
      <c r="C1051" s="69"/>
      <c r="F1051" s="69"/>
      <c r="I1051" s="69"/>
      <c r="L1051" s="69"/>
      <c r="O1051" s="69"/>
      <c r="R1051" s="69"/>
    </row>
    <row r="1052" spans="3:18" ht="16.5">
      <c r="C1052" s="69"/>
      <c r="F1052" s="69"/>
      <c r="I1052" s="69"/>
      <c r="L1052" s="69"/>
      <c r="O1052" s="69"/>
      <c r="R1052" s="69"/>
    </row>
    <row r="1053" spans="3:18" ht="16.5">
      <c r="C1053" s="69"/>
      <c r="F1053" s="69"/>
      <c r="I1053" s="69"/>
      <c r="L1053" s="69"/>
      <c r="O1053" s="69"/>
      <c r="R1053" s="69"/>
    </row>
    <row r="1054" spans="3:18" ht="16.5">
      <c r="C1054" s="69"/>
      <c r="F1054" s="69"/>
      <c r="I1054" s="69"/>
      <c r="L1054" s="69"/>
      <c r="O1054" s="69"/>
      <c r="R1054" s="69"/>
    </row>
    <row r="1055" spans="3:18" ht="16.5">
      <c r="C1055" s="69"/>
      <c r="F1055" s="69"/>
      <c r="I1055" s="69"/>
      <c r="L1055" s="69"/>
      <c r="O1055" s="69"/>
      <c r="R1055" s="69"/>
    </row>
    <row r="1056" spans="3:18" ht="16.5">
      <c r="C1056" s="69"/>
      <c r="F1056" s="69"/>
      <c r="I1056" s="69"/>
      <c r="L1056" s="69"/>
      <c r="O1056" s="69"/>
      <c r="R1056" s="69"/>
    </row>
    <row r="1057" spans="3:18" ht="16.5">
      <c r="C1057" s="69"/>
      <c r="F1057" s="69"/>
      <c r="I1057" s="69"/>
      <c r="L1057" s="69"/>
      <c r="O1057" s="69"/>
      <c r="R1057" s="69"/>
    </row>
    <row r="1058" spans="3:18" ht="16.5">
      <c r="C1058" s="69"/>
      <c r="F1058" s="69"/>
      <c r="I1058" s="69"/>
      <c r="L1058" s="69"/>
      <c r="O1058" s="69"/>
      <c r="R1058" s="69"/>
    </row>
    <row r="1059" spans="3:18" ht="16.5">
      <c r="C1059" s="69"/>
      <c r="F1059" s="69"/>
      <c r="I1059" s="69"/>
      <c r="L1059" s="69"/>
      <c r="O1059" s="69"/>
      <c r="R1059" s="69"/>
    </row>
    <row r="1060" spans="3:18" ht="16.5">
      <c r="C1060" s="69"/>
      <c r="F1060" s="69"/>
      <c r="I1060" s="69"/>
      <c r="L1060" s="69"/>
      <c r="O1060" s="69"/>
      <c r="R1060" s="69"/>
    </row>
    <row r="1061" spans="3:18" ht="16.5">
      <c r="C1061" s="69"/>
      <c r="F1061" s="69"/>
      <c r="I1061" s="69"/>
      <c r="L1061" s="69"/>
      <c r="O1061" s="69"/>
      <c r="R1061" s="69"/>
    </row>
    <row r="1062" spans="3:18" ht="16.5">
      <c r="C1062" s="69"/>
      <c r="F1062" s="69"/>
      <c r="I1062" s="69"/>
      <c r="L1062" s="69"/>
      <c r="O1062" s="69"/>
      <c r="R1062" s="69"/>
    </row>
    <row r="1063" spans="3:18" ht="16.5">
      <c r="C1063" s="69"/>
      <c r="F1063" s="69"/>
      <c r="I1063" s="69"/>
      <c r="L1063" s="69"/>
      <c r="O1063" s="69"/>
      <c r="R1063" s="69"/>
    </row>
    <row r="1064" spans="3:18" ht="16.5">
      <c r="C1064" s="69"/>
      <c r="F1064" s="69"/>
      <c r="I1064" s="69"/>
      <c r="L1064" s="69"/>
      <c r="O1064" s="69"/>
      <c r="R1064" s="69"/>
    </row>
    <row r="1065" spans="3:18" ht="16.5">
      <c r="C1065" s="69"/>
      <c r="F1065" s="69"/>
      <c r="I1065" s="69"/>
      <c r="L1065" s="69"/>
      <c r="O1065" s="69"/>
      <c r="R1065" s="69"/>
    </row>
    <row r="1066" spans="3:18" ht="16.5">
      <c r="C1066" s="69"/>
      <c r="F1066" s="69"/>
      <c r="I1066" s="69"/>
      <c r="L1066" s="69"/>
      <c r="O1066" s="69"/>
      <c r="R1066" s="69"/>
    </row>
    <row r="1067" spans="3:18" ht="16.5">
      <c r="C1067" s="69"/>
      <c r="F1067" s="69"/>
      <c r="I1067" s="69"/>
      <c r="L1067" s="69"/>
      <c r="O1067" s="69"/>
      <c r="R1067" s="69"/>
    </row>
    <row r="1068" spans="3:18" ht="16.5">
      <c r="C1068" s="69"/>
      <c r="F1068" s="69"/>
      <c r="I1068" s="69"/>
      <c r="L1068" s="69"/>
      <c r="O1068" s="69"/>
      <c r="R1068" s="69"/>
    </row>
    <row r="1069" spans="3:18" ht="16.5">
      <c r="C1069" s="69"/>
      <c r="F1069" s="69"/>
      <c r="I1069" s="69"/>
      <c r="L1069" s="69"/>
      <c r="O1069" s="69"/>
      <c r="R1069" s="69"/>
    </row>
    <row r="1070" spans="3:18" ht="16.5">
      <c r="C1070" s="69"/>
      <c r="F1070" s="69"/>
      <c r="I1070" s="69"/>
      <c r="L1070" s="69"/>
      <c r="O1070" s="69"/>
      <c r="R1070" s="69"/>
    </row>
    <row r="1071" spans="3:18" ht="16.5">
      <c r="C1071" s="69"/>
      <c r="F1071" s="69"/>
      <c r="I1071" s="69"/>
      <c r="L1071" s="69"/>
      <c r="O1071" s="69"/>
      <c r="R1071" s="69"/>
    </row>
    <row r="1072" spans="3:18" ht="16.5">
      <c r="C1072" s="69"/>
      <c r="F1072" s="69"/>
      <c r="I1072" s="69"/>
      <c r="L1072" s="69"/>
      <c r="O1072" s="69"/>
      <c r="R1072" s="69"/>
    </row>
    <row r="1073" spans="3:18" ht="16.5">
      <c r="C1073" s="69"/>
      <c r="F1073" s="69"/>
      <c r="I1073" s="69"/>
      <c r="L1073" s="69"/>
      <c r="O1073" s="69"/>
      <c r="R1073" s="69"/>
    </row>
    <row r="1074" spans="3:18" ht="16.5">
      <c r="C1074" s="69"/>
      <c r="F1074" s="69"/>
      <c r="I1074" s="69"/>
      <c r="L1074" s="69"/>
      <c r="O1074" s="69"/>
      <c r="R1074" s="69"/>
    </row>
    <row r="1075" spans="3:18" ht="16.5">
      <c r="C1075" s="69"/>
      <c r="F1075" s="69"/>
      <c r="I1075" s="69"/>
      <c r="L1075" s="69"/>
      <c r="O1075" s="69"/>
      <c r="R1075" s="69"/>
    </row>
    <row r="1076" spans="3:18" ht="16.5">
      <c r="C1076" s="69"/>
      <c r="F1076" s="69"/>
      <c r="I1076" s="69"/>
      <c r="L1076" s="69"/>
      <c r="O1076" s="69"/>
      <c r="R1076" s="69"/>
    </row>
    <row r="1077" spans="3:18" ht="16.5">
      <c r="C1077" s="69"/>
      <c r="F1077" s="69"/>
      <c r="I1077" s="69"/>
      <c r="L1077" s="69"/>
      <c r="O1077" s="69"/>
      <c r="R1077" s="69"/>
    </row>
    <row r="1078" spans="3:18" ht="16.5">
      <c r="C1078" s="69"/>
      <c r="F1078" s="69"/>
      <c r="I1078" s="69"/>
      <c r="L1078" s="69"/>
      <c r="O1078" s="69"/>
      <c r="R1078" s="69"/>
    </row>
    <row r="1079" spans="3:18" ht="16.5">
      <c r="C1079" s="69"/>
      <c r="F1079" s="69"/>
      <c r="I1079" s="69"/>
      <c r="L1079" s="69"/>
      <c r="O1079" s="69"/>
      <c r="R1079" s="69"/>
    </row>
    <row r="1080" spans="3:18" ht="16.5">
      <c r="C1080" s="69"/>
      <c r="F1080" s="69"/>
      <c r="I1080" s="69"/>
      <c r="L1080" s="69"/>
      <c r="O1080" s="69"/>
      <c r="R1080" s="69"/>
    </row>
    <row r="1081" spans="3:18" ht="16.5">
      <c r="C1081" s="69"/>
      <c r="F1081" s="69"/>
      <c r="I1081" s="69"/>
      <c r="L1081" s="69"/>
      <c r="O1081" s="69"/>
      <c r="R1081" s="69"/>
    </row>
    <row r="1082" spans="3:18" ht="16.5">
      <c r="C1082" s="69"/>
      <c r="F1082" s="69"/>
      <c r="I1082" s="69"/>
      <c r="L1082" s="69"/>
      <c r="O1082" s="69"/>
      <c r="R1082" s="69"/>
    </row>
    <row r="1083" spans="3:18" ht="16.5">
      <c r="C1083" s="69"/>
      <c r="F1083" s="69"/>
      <c r="I1083" s="69"/>
      <c r="L1083" s="69"/>
      <c r="O1083" s="69"/>
      <c r="R1083" s="69"/>
    </row>
    <row r="1084" spans="3:18" ht="16.5">
      <c r="C1084" s="69"/>
      <c r="F1084" s="69"/>
      <c r="I1084" s="69"/>
      <c r="L1084" s="69"/>
      <c r="O1084" s="69"/>
      <c r="R1084" s="69"/>
    </row>
    <row r="1085" spans="3:18" ht="16.5">
      <c r="C1085" s="69"/>
      <c r="F1085" s="69"/>
      <c r="I1085" s="69"/>
      <c r="L1085" s="69"/>
      <c r="O1085" s="69"/>
      <c r="R1085" s="69"/>
    </row>
    <row r="1086" spans="3:18" ht="16.5">
      <c r="C1086" s="69"/>
      <c r="F1086" s="69"/>
      <c r="I1086" s="69"/>
      <c r="L1086" s="69"/>
      <c r="O1086" s="69"/>
      <c r="R1086" s="69"/>
    </row>
    <row r="1087" spans="3:18" ht="16.5">
      <c r="C1087" s="69"/>
      <c r="F1087" s="69"/>
      <c r="I1087" s="69"/>
      <c r="L1087" s="69"/>
      <c r="O1087" s="69"/>
      <c r="R1087" s="69"/>
    </row>
    <row r="1088" spans="3:18" ht="16.5">
      <c r="C1088" s="69"/>
      <c r="F1088" s="69"/>
      <c r="I1088" s="69"/>
      <c r="L1088" s="69"/>
      <c r="O1088" s="69"/>
      <c r="R1088" s="69"/>
    </row>
    <row r="1089" spans="3:18" ht="16.5">
      <c r="C1089" s="69"/>
      <c r="F1089" s="69"/>
      <c r="I1089" s="69"/>
      <c r="L1089" s="69"/>
      <c r="O1089" s="69"/>
      <c r="R1089" s="69"/>
    </row>
    <row r="1090" spans="3:18" ht="16.5">
      <c r="C1090" s="69"/>
      <c r="F1090" s="69"/>
      <c r="I1090" s="69"/>
      <c r="L1090" s="69"/>
      <c r="O1090" s="69"/>
      <c r="R1090" s="69"/>
    </row>
    <row r="1091" spans="3:18" ht="16.5">
      <c r="C1091" s="69"/>
      <c r="F1091" s="69"/>
      <c r="I1091" s="69"/>
      <c r="L1091" s="69"/>
      <c r="O1091" s="69"/>
      <c r="R1091" s="69"/>
    </row>
    <row r="1092" spans="3:18" ht="16.5">
      <c r="C1092" s="69"/>
      <c r="F1092" s="69"/>
      <c r="I1092" s="69"/>
      <c r="L1092" s="69"/>
      <c r="O1092" s="69"/>
      <c r="R1092" s="69"/>
    </row>
    <row r="1093" spans="3:18" ht="16.5">
      <c r="C1093" s="69"/>
      <c r="F1093" s="69"/>
      <c r="I1093" s="69"/>
      <c r="L1093" s="69"/>
      <c r="O1093" s="69"/>
      <c r="R1093" s="69"/>
    </row>
    <row r="1094" spans="3:18" ht="16.5">
      <c r="C1094" s="69"/>
      <c r="F1094" s="69"/>
      <c r="I1094" s="69"/>
      <c r="L1094" s="69"/>
      <c r="O1094" s="69"/>
      <c r="R1094" s="69"/>
    </row>
    <row r="1095" spans="3:18" ht="16.5">
      <c r="C1095" s="69"/>
      <c r="F1095" s="69"/>
      <c r="I1095" s="69"/>
      <c r="L1095" s="69"/>
      <c r="O1095" s="69"/>
      <c r="R1095" s="69"/>
    </row>
    <row r="1096" spans="3:18" ht="16.5">
      <c r="C1096" s="69"/>
      <c r="F1096" s="69"/>
      <c r="I1096" s="69"/>
      <c r="L1096" s="69"/>
      <c r="O1096" s="69"/>
      <c r="R1096" s="69"/>
    </row>
    <row r="1097" spans="3:18" ht="16.5">
      <c r="C1097" s="69"/>
      <c r="F1097" s="69"/>
      <c r="I1097" s="69"/>
      <c r="L1097" s="69"/>
      <c r="O1097" s="69"/>
      <c r="R1097" s="69"/>
    </row>
    <row r="1098" spans="3:18" ht="16.5">
      <c r="C1098" s="69"/>
      <c r="F1098" s="69"/>
      <c r="I1098" s="69"/>
      <c r="L1098" s="69"/>
      <c r="O1098" s="69"/>
      <c r="R1098" s="69"/>
    </row>
    <row r="1099" spans="3:18" ht="16.5">
      <c r="C1099" s="69"/>
      <c r="F1099" s="69"/>
      <c r="I1099" s="69"/>
      <c r="L1099" s="69"/>
      <c r="O1099" s="69"/>
      <c r="R1099" s="69"/>
    </row>
    <row r="1100" spans="3:18" ht="16.5">
      <c r="C1100" s="69"/>
      <c r="F1100" s="69"/>
      <c r="I1100" s="69"/>
      <c r="L1100" s="69"/>
      <c r="O1100" s="69"/>
      <c r="R1100" s="69"/>
    </row>
    <row r="1101" spans="3:18" ht="16.5">
      <c r="C1101" s="69"/>
      <c r="F1101" s="69"/>
      <c r="I1101" s="69"/>
      <c r="L1101" s="69"/>
      <c r="O1101" s="69"/>
      <c r="R1101" s="69"/>
    </row>
    <row r="1102" spans="3:18" ht="16.5">
      <c r="C1102" s="69"/>
      <c r="F1102" s="69"/>
      <c r="I1102" s="69"/>
      <c r="L1102" s="69"/>
      <c r="O1102" s="69"/>
      <c r="R1102" s="69"/>
    </row>
    <row r="1103" spans="3:18" ht="16.5">
      <c r="C1103" s="69"/>
      <c r="F1103" s="69"/>
      <c r="I1103" s="69"/>
      <c r="L1103" s="69"/>
      <c r="O1103" s="69"/>
      <c r="R1103" s="69"/>
    </row>
    <row r="1104" spans="3:18" ht="16.5">
      <c r="C1104" s="69"/>
      <c r="F1104" s="69"/>
      <c r="I1104" s="69"/>
      <c r="L1104" s="69"/>
      <c r="O1104" s="69"/>
      <c r="R1104" s="69"/>
    </row>
    <row r="1105" spans="3:18" ht="16.5">
      <c r="C1105" s="69"/>
      <c r="F1105" s="69"/>
      <c r="I1105" s="69"/>
      <c r="L1105" s="69"/>
      <c r="O1105" s="69"/>
      <c r="R1105" s="69"/>
    </row>
    <row r="1106" spans="3:18" ht="16.5">
      <c r="C1106" s="69"/>
      <c r="F1106" s="69"/>
      <c r="I1106" s="69"/>
      <c r="L1106" s="69"/>
      <c r="O1106" s="69"/>
      <c r="R1106" s="69"/>
    </row>
    <row r="1107" spans="3:18" ht="16.5">
      <c r="C1107" s="69"/>
      <c r="F1107" s="69"/>
      <c r="I1107" s="69"/>
      <c r="L1107" s="69"/>
      <c r="O1107" s="69"/>
      <c r="R1107" s="69"/>
    </row>
    <row r="1108" spans="3:18" ht="16.5">
      <c r="C1108" s="69"/>
      <c r="F1108" s="69"/>
      <c r="I1108" s="69"/>
      <c r="L1108" s="69"/>
      <c r="O1108" s="69"/>
      <c r="R1108" s="69"/>
    </row>
    <row r="1109" spans="3:18" ht="16.5">
      <c r="C1109" s="69"/>
      <c r="F1109" s="69"/>
      <c r="I1109" s="69"/>
      <c r="L1109" s="69"/>
      <c r="O1109" s="69"/>
      <c r="R1109" s="69"/>
    </row>
    <row r="1110" spans="3:18" ht="16.5">
      <c r="C1110" s="69"/>
      <c r="F1110" s="69"/>
      <c r="I1110" s="69"/>
      <c r="L1110" s="69"/>
      <c r="O1110" s="69"/>
      <c r="R1110" s="69"/>
    </row>
    <row r="1111" spans="3:18" ht="16.5">
      <c r="C1111" s="69"/>
      <c r="F1111" s="69"/>
      <c r="I1111" s="69"/>
      <c r="L1111" s="69"/>
      <c r="O1111" s="69"/>
      <c r="R1111" s="69"/>
    </row>
    <row r="1112" spans="3:18" ht="16.5">
      <c r="C1112" s="69"/>
      <c r="F1112" s="69"/>
      <c r="I1112" s="69"/>
      <c r="L1112" s="69"/>
      <c r="O1112" s="69"/>
      <c r="R1112" s="69"/>
    </row>
    <row r="1113" spans="3:18" ht="16.5">
      <c r="C1113" s="69"/>
      <c r="F1113" s="69"/>
      <c r="I1113" s="69"/>
      <c r="L1113" s="69"/>
      <c r="O1113" s="69"/>
      <c r="R1113" s="69"/>
    </row>
    <row r="1114" spans="3:18" ht="16.5">
      <c r="C1114" s="69"/>
      <c r="F1114" s="69"/>
      <c r="I1114" s="69"/>
      <c r="L1114" s="69"/>
      <c r="O1114" s="69"/>
      <c r="R1114" s="69"/>
    </row>
    <row r="1115" spans="3:18" ht="16.5">
      <c r="C1115" s="69"/>
      <c r="F1115" s="69"/>
      <c r="I1115" s="69"/>
      <c r="L1115" s="69"/>
      <c r="O1115" s="69"/>
      <c r="R1115" s="69"/>
    </row>
    <row r="1116" spans="3:18" ht="16.5">
      <c r="C1116" s="69"/>
      <c r="F1116" s="69"/>
      <c r="I1116" s="69"/>
      <c r="L1116" s="69"/>
      <c r="O1116" s="69"/>
      <c r="R1116" s="69"/>
    </row>
    <row r="1117" spans="3:18" ht="16.5">
      <c r="C1117" s="69"/>
      <c r="F1117" s="69"/>
      <c r="I1117" s="69"/>
      <c r="L1117" s="69"/>
      <c r="O1117" s="69"/>
      <c r="R1117" s="69"/>
    </row>
    <row r="1118" spans="3:18" ht="16.5">
      <c r="C1118" s="69"/>
      <c r="F1118" s="69"/>
      <c r="I1118" s="69"/>
      <c r="L1118" s="69"/>
      <c r="O1118" s="69"/>
      <c r="R1118" s="69"/>
    </row>
    <row r="1119" spans="3:18" ht="16.5">
      <c r="C1119" s="69"/>
      <c r="F1119" s="69"/>
      <c r="I1119" s="69"/>
      <c r="L1119" s="69"/>
      <c r="O1119" s="69"/>
      <c r="R1119" s="69"/>
    </row>
    <row r="1120" spans="3:18" ht="16.5">
      <c r="C1120" s="69"/>
      <c r="F1120" s="69"/>
      <c r="I1120" s="69"/>
      <c r="L1120" s="69"/>
      <c r="O1120" s="69"/>
      <c r="R1120" s="69"/>
    </row>
    <row r="1121" spans="3:18" ht="16.5">
      <c r="C1121" s="69"/>
      <c r="F1121" s="69"/>
      <c r="I1121" s="69"/>
      <c r="L1121" s="69"/>
      <c r="O1121" s="69"/>
      <c r="R1121" s="69"/>
    </row>
    <row r="1122" spans="3:18" ht="16.5">
      <c r="C1122" s="69"/>
      <c r="F1122" s="69"/>
      <c r="I1122" s="69"/>
      <c r="L1122" s="69"/>
      <c r="O1122" s="69"/>
      <c r="R1122" s="69"/>
    </row>
    <row r="1123" spans="3:18" ht="16.5">
      <c r="C1123" s="69"/>
      <c r="F1123" s="69"/>
      <c r="I1123" s="69"/>
      <c r="L1123" s="69"/>
      <c r="O1123" s="69"/>
      <c r="R1123" s="69"/>
    </row>
    <row r="1124" spans="3:18" ht="16.5">
      <c r="C1124" s="69"/>
      <c r="F1124" s="69"/>
      <c r="I1124" s="69"/>
      <c r="L1124" s="69"/>
      <c r="O1124" s="69"/>
      <c r="R1124" s="69"/>
    </row>
    <row r="1125" spans="3:18" ht="16.5">
      <c r="C1125" s="69"/>
      <c r="F1125" s="69"/>
      <c r="I1125" s="69"/>
      <c r="L1125" s="69"/>
      <c r="O1125" s="69"/>
      <c r="R1125" s="69"/>
    </row>
    <row r="1126" spans="3:18" ht="16.5">
      <c r="C1126" s="69"/>
      <c r="F1126" s="69"/>
      <c r="I1126" s="69"/>
      <c r="L1126" s="69"/>
      <c r="O1126" s="69"/>
      <c r="R1126" s="69"/>
    </row>
    <row r="1127" spans="3:18" ht="16.5">
      <c r="C1127" s="69"/>
      <c r="F1127" s="69"/>
      <c r="I1127" s="69"/>
      <c r="L1127" s="69"/>
      <c r="O1127" s="69"/>
      <c r="R1127" s="69"/>
    </row>
    <row r="1128" spans="3:18" ht="16.5">
      <c r="C1128" s="69"/>
      <c r="F1128" s="69"/>
      <c r="I1128" s="69"/>
      <c r="L1128" s="69"/>
      <c r="O1128" s="69"/>
      <c r="R1128" s="69"/>
    </row>
    <row r="1129" spans="3:18" ht="16.5">
      <c r="C1129" s="69"/>
      <c r="F1129" s="69"/>
      <c r="I1129" s="69"/>
      <c r="L1129" s="69"/>
      <c r="O1129" s="69"/>
      <c r="R1129" s="69"/>
    </row>
    <row r="1130" spans="3:18" ht="16.5">
      <c r="C1130" s="69"/>
      <c r="F1130" s="69"/>
      <c r="I1130" s="69"/>
      <c r="L1130" s="69"/>
      <c r="O1130" s="69"/>
      <c r="R1130" s="69"/>
    </row>
    <row r="1131" spans="3:18" ht="16.5">
      <c r="C1131" s="69"/>
      <c r="F1131" s="69"/>
      <c r="I1131" s="69"/>
      <c r="L1131" s="69"/>
      <c r="O1131" s="69"/>
      <c r="R1131" s="69"/>
    </row>
    <row r="1132" spans="3:18" ht="16.5">
      <c r="C1132" s="69"/>
      <c r="F1132" s="69"/>
      <c r="I1132" s="69"/>
      <c r="L1132" s="69"/>
      <c r="O1132" s="69"/>
      <c r="R1132" s="69"/>
    </row>
    <row r="1133" spans="3:18" ht="16.5">
      <c r="C1133" s="69"/>
      <c r="F1133" s="69"/>
      <c r="I1133" s="69"/>
      <c r="L1133" s="69"/>
      <c r="O1133" s="69"/>
      <c r="R1133" s="69"/>
    </row>
    <row r="1134" spans="3:18" ht="16.5">
      <c r="C1134" s="69"/>
      <c r="F1134" s="69"/>
      <c r="I1134" s="69"/>
      <c r="L1134" s="69"/>
      <c r="O1134" s="69"/>
      <c r="R1134" s="69"/>
    </row>
    <row r="1135" spans="3:18" ht="16.5">
      <c r="C1135" s="69"/>
      <c r="F1135" s="69"/>
      <c r="I1135" s="69"/>
      <c r="L1135" s="69"/>
      <c r="O1135" s="69"/>
      <c r="R1135" s="69"/>
    </row>
    <row r="1136" spans="3:18" ht="16.5">
      <c r="C1136" s="69"/>
      <c r="F1136" s="69"/>
      <c r="I1136" s="69"/>
      <c r="L1136" s="69"/>
      <c r="O1136" s="69"/>
      <c r="R1136" s="69"/>
    </row>
    <row r="1137" spans="3:18" ht="16.5">
      <c r="C1137" s="69"/>
      <c r="F1137" s="69"/>
      <c r="I1137" s="69"/>
      <c r="L1137" s="69"/>
      <c r="O1137" s="69"/>
      <c r="R1137" s="69"/>
    </row>
    <row r="1138" spans="3:18" ht="16.5">
      <c r="C1138" s="69"/>
      <c r="F1138" s="69"/>
      <c r="I1138" s="69"/>
      <c r="L1138" s="69"/>
      <c r="O1138" s="69"/>
      <c r="R1138" s="69"/>
    </row>
    <row r="1139" spans="3:18" ht="16.5">
      <c r="C1139" s="69"/>
      <c r="F1139" s="69"/>
      <c r="I1139" s="69"/>
      <c r="L1139" s="69"/>
      <c r="O1139" s="69"/>
      <c r="R1139" s="69"/>
    </row>
    <row r="1140" spans="3:18" ht="16.5">
      <c r="C1140" s="69"/>
      <c r="F1140" s="69"/>
      <c r="I1140" s="69"/>
      <c r="L1140" s="69"/>
      <c r="O1140" s="69"/>
      <c r="R1140" s="69"/>
    </row>
    <row r="1141" spans="3:18" ht="16.5">
      <c r="C1141" s="69"/>
      <c r="F1141" s="69"/>
      <c r="I1141" s="69"/>
      <c r="L1141" s="69"/>
      <c r="O1141" s="69"/>
      <c r="R1141" s="69"/>
    </row>
    <row r="1142" spans="3:18" ht="16.5">
      <c r="C1142" s="69"/>
      <c r="F1142" s="69"/>
      <c r="I1142" s="69"/>
      <c r="L1142" s="69"/>
      <c r="O1142" s="69"/>
      <c r="R1142" s="69"/>
    </row>
    <row r="1143" spans="3:18" ht="16.5">
      <c r="C1143" s="69"/>
      <c r="F1143" s="69"/>
      <c r="I1143" s="69"/>
      <c r="L1143" s="69"/>
      <c r="O1143" s="69"/>
      <c r="R1143" s="69"/>
    </row>
    <row r="1144" spans="3:18" ht="16.5">
      <c r="C1144" s="69"/>
      <c r="F1144" s="69"/>
      <c r="I1144" s="69"/>
      <c r="L1144" s="69"/>
      <c r="O1144" s="69"/>
      <c r="R1144" s="69"/>
    </row>
    <row r="1145" spans="3:18" ht="16.5">
      <c r="C1145" s="69"/>
      <c r="F1145" s="69"/>
      <c r="I1145" s="69"/>
      <c r="L1145" s="69"/>
      <c r="O1145" s="69"/>
      <c r="R1145" s="69"/>
    </row>
    <row r="1146" spans="3:18" ht="16.5">
      <c r="C1146" s="69"/>
      <c r="F1146" s="69"/>
      <c r="I1146" s="69"/>
      <c r="L1146" s="69"/>
      <c r="O1146" s="69"/>
      <c r="R1146" s="69"/>
    </row>
    <row r="1147" spans="3:18" ht="16.5">
      <c r="C1147" s="69"/>
      <c r="F1147" s="69"/>
      <c r="I1147" s="69"/>
      <c r="L1147" s="69"/>
      <c r="O1147" s="69"/>
      <c r="R1147" s="69"/>
    </row>
    <row r="1148" spans="3:18" ht="16.5">
      <c r="C1148" s="69"/>
      <c r="F1148" s="69"/>
      <c r="I1148" s="69"/>
      <c r="L1148" s="69"/>
      <c r="O1148" s="69"/>
      <c r="R1148" s="69"/>
    </row>
    <row r="1149" spans="3:18" ht="16.5">
      <c r="C1149" s="69"/>
      <c r="F1149" s="69"/>
      <c r="I1149" s="69"/>
      <c r="L1149" s="69"/>
      <c r="O1149" s="69"/>
      <c r="R1149" s="69"/>
    </row>
    <row r="1150" spans="3:18" ht="16.5">
      <c r="C1150" s="69"/>
      <c r="F1150" s="69"/>
      <c r="I1150" s="69"/>
      <c r="L1150" s="69"/>
      <c r="O1150" s="69"/>
      <c r="R1150" s="69"/>
    </row>
    <row r="1151" spans="3:18" ht="16.5">
      <c r="C1151" s="69"/>
      <c r="F1151" s="69"/>
      <c r="I1151" s="69"/>
      <c r="L1151" s="69"/>
      <c r="O1151" s="69"/>
      <c r="R1151" s="69"/>
    </row>
    <row r="1152" spans="3:18" ht="16.5">
      <c r="C1152" s="69"/>
      <c r="F1152" s="69"/>
      <c r="I1152" s="69"/>
      <c r="L1152" s="69"/>
      <c r="O1152" s="69"/>
      <c r="R1152" s="69"/>
    </row>
    <row r="1153" spans="3:18" ht="16.5">
      <c r="C1153" s="69"/>
      <c r="F1153" s="69"/>
      <c r="I1153" s="69"/>
      <c r="L1153" s="69"/>
      <c r="O1153" s="69"/>
      <c r="R1153" s="69"/>
    </row>
    <row r="1154" spans="3:18" ht="16.5">
      <c r="C1154" s="69"/>
      <c r="F1154" s="69"/>
      <c r="I1154" s="69"/>
      <c r="L1154" s="69"/>
      <c r="O1154" s="69"/>
      <c r="R1154" s="69"/>
    </row>
    <row r="1155" spans="3:18" ht="16.5">
      <c r="C1155" s="69"/>
      <c r="F1155" s="69"/>
      <c r="I1155" s="69"/>
      <c r="L1155" s="69"/>
      <c r="O1155" s="69"/>
      <c r="R1155" s="69"/>
    </row>
    <row r="1156" spans="3:18" ht="16.5">
      <c r="C1156" s="69"/>
      <c r="F1156" s="69"/>
      <c r="I1156" s="69"/>
      <c r="L1156" s="69"/>
      <c r="O1156" s="69"/>
      <c r="R1156" s="69"/>
    </row>
    <row r="1157" spans="3:18" ht="16.5">
      <c r="C1157" s="69"/>
      <c r="F1157" s="69"/>
      <c r="I1157" s="69"/>
      <c r="L1157" s="69"/>
      <c r="O1157" s="69"/>
      <c r="R1157" s="69"/>
    </row>
    <row r="1158" spans="3:18" ht="16.5">
      <c r="C1158" s="69"/>
      <c r="F1158" s="69"/>
      <c r="I1158" s="69"/>
      <c r="L1158" s="69"/>
      <c r="O1158" s="69"/>
      <c r="R1158" s="69"/>
    </row>
    <row r="1159" spans="3:18" ht="16.5">
      <c r="C1159" s="69"/>
      <c r="F1159" s="69"/>
      <c r="I1159" s="69"/>
      <c r="L1159" s="69"/>
      <c r="O1159" s="69"/>
      <c r="R1159" s="69"/>
    </row>
    <row r="1160" spans="3:18" ht="16.5">
      <c r="C1160" s="69"/>
      <c r="F1160" s="69"/>
      <c r="I1160" s="69"/>
      <c r="L1160" s="69"/>
      <c r="O1160" s="69"/>
      <c r="R1160" s="69"/>
    </row>
    <row r="1161" spans="3:18" ht="16.5">
      <c r="C1161" s="69"/>
      <c r="F1161" s="69"/>
      <c r="I1161" s="69"/>
      <c r="L1161" s="69"/>
      <c r="O1161" s="69"/>
      <c r="R1161" s="69"/>
    </row>
    <row r="1162" spans="3:18" ht="16.5">
      <c r="C1162" s="69"/>
      <c r="F1162" s="69"/>
      <c r="I1162" s="69"/>
      <c r="L1162" s="69"/>
      <c r="O1162" s="69"/>
      <c r="R1162" s="69"/>
    </row>
    <row r="1163" spans="3:18" ht="16.5">
      <c r="C1163" s="69"/>
      <c r="F1163" s="69"/>
      <c r="I1163" s="69"/>
      <c r="L1163" s="69"/>
      <c r="O1163" s="69"/>
      <c r="R1163" s="69"/>
    </row>
    <row r="1164" spans="3:18" ht="16.5">
      <c r="C1164" s="69"/>
      <c r="F1164" s="69"/>
      <c r="I1164" s="69"/>
      <c r="L1164" s="69"/>
      <c r="O1164" s="69"/>
      <c r="R1164" s="69"/>
    </row>
    <row r="1165" spans="3:18" ht="16.5">
      <c r="C1165" s="69"/>
      <c r="F1165" s="69"/>
      <c r="I1165" s="69"/>
      <c r="L1165" s="69"/>
      <c r="O1165" s="69"/>
      <c r="R1165" s="69"/>
    </row>
    <row r="1166" spans="3:18" ht="16.5">
      <c r="C1166" s="69"/>
      <c r="F1166" s="69"/>
      <c r="I1166" s="69"/>
      <c r="L1166" s="69"/>
      <c r="O1166" s="69"/>
      <c r="R1166" s="69"/>
    </row>
    <row r="1167" spans="3:18" ht="16.5">
      <c r="C1167" s="69"/>
      <c r="F1167" s="69"/>
      <c r="I1167" s="69"/>
      <c r="L1167" s="69"/>
      <c r="O1167" s="69"/>
      <c r="R1167" s="69"/>
    </row>
    <row r="1168" spans="3:18" ht="16.5">
      <c r="C1168" s="69"/>
      <c r="F1168" s="69"/>
      <c r="I1168" s="69"/>
      <c r="L1168" s="69"/>
      <c r="O1168" s="69"/>
      <c r="R1168" s="69"/>
    </row>
    <row r="1169" spans="3:18" ht="16.5">
      <c r="C1169" s="69"/>
      <c r="F1169" s="69"/>
      <c r="I1169" s="69"/>
      <c r="L1169" s="69"/>
      <c r="O1169" s="69"/>
      <c r="R1169" s="69"/>
    </row>
    <row r="1170" spans="3:18" ht="16.5">
      <c r="C1170" s="69"/>
      <c r="F1170" s="69"/>
      <c r="I1170" s="69"/>
      <c r="L1170" s="69"/>
      <c r="O1170" s="69"/>
      <c r="R1170" s="69"/>
    </row>
    <row r="1171" spans="3:18" ht="16.5">
      <c r="C1171" s="69"/>
      <c r="F1171" s="69"/>
      <c r="I1171" s="69"/>
      <c r="L1171" s="69"/>
      <c r="O1171" s="69"/>
      <c r="R1171" s="69"/>
    </row>
    <row r="1172" spans="3:18" ht="16.5">
      <c r="C1172" s="69"/>
      <c r="F1172" s="69"/>
      <c r="I1172" s="69"/>
      <c r="L1172" s="69"/>
      <c r="O1172" s="69"/>
      <c r="R1172" s="69"/>
    </row>
    <row r="1173" spans="3:18" ht="16.5">
      <c r="C1173" s="69"/>
      <c r="F1173" s="69"/>
      <c r="I1173" s="69"/>
      <c r="L1173" s="69"/>
      <c r="O1173" s="69"/>
      <c r="R1173" s="69"/>
    </row>
    <row r="1174" spans="3:18" ht="16.5">
      <c r="C1174" s="69"/>
      <c r="F1174" s="69"/>
      <c r="I1174" s="69"/>
      <c r="L1174" s="69"/>
      <c r="O1174" s="69"/>
      <c r="R1174" s="69"/>
    </row>
    <row r="1175" spans="3:18" ht="16.5">
      <c r="C1175" s="69"/>
      <c r="F1175" s="69"/>
      <c r="I1175" s="69"/>
      <c r="L1175" s="69"/>
      <c r="O1175" s="69"/>
      <c r="R1175" s="69"/>
    </row>
    <row r="1176" spans="3:18" ht="16.5">
      <c r="C1176" s="69"/>
      <c r="F1176" s="69"/>
      <c r="I1176" s="69"/>
      <c r="L1176" s="69"/>
      <c r="O1176" s="69"/>
      <c r="R1176" s="69"/>
    </row>
    <row r="1177" spans="3:18" ht="16.5">
      <c r="C1177" s="69"/>
      <c r="F1177" s="69"/>
      <c r="I1177" s="69"/>
      <c r="L1177" s="69"/>
      <c r="O1177" s="69"/>
      <c r="R1177" s="69"/>
    </row>
    <row r="1178" spans="3:18" ht="16.5">
      <c r="C1178" s="69"/>
      <c r="F1178" s="69"/>
      <c r="I1178" s="69"/>
      <c r="L1178" s="69"/>
      <c r="O1178" s="69"/>
      <c r="R1178" s="69"/>
    </row>
    <row r="1179" spans="3:18" ht="16.5">
      <c r="C1179" s="69"/>
      <c r="F1179" s="69"/>
      <c r="I1179" s="69"/>
      <c r="L1179" s="69"/>
      <c r="O1179" s="69"/>
      <c r="R1179" s="69"/>
    </row>
    <row r="1180" spans="3:18" ht="16.5">
      <c r="C1180" s="69"/>
      <c r="F1180" s="69"/>
      <c r="I1180" s="69"/>
      <c r="L1180" s="69"/>
      <c r="O1180" s="69"/>
      <c r="R1180" s="69"/>
    </row>
    <row r="1181" spans="3:18" ht="16.5">
      <c r="C1181" s="69"/>
      <c r="F1181" s="69"/>
      <c r="I1181" s="69"/>
      <c r="L1181" s="69"/>
      <c r="O1181" s="69"/>
      <c r="R1181" s="69"/>
    </row>
    <row r="1182" spans="3:18" ht="16.5">
      <c r="C1182" s="69"/>
      <c r="F1182" s="69"/>
      <c r="I1182" s="69"/>
      <c r="L1182" s="69"/>
      <c r="O1182" s="69"/>
      <c r="R1182" s="69"/>
    </row>
    <row r="1183" spans="3:18" ht="16.5">
      <c r="C1183" s="69"/>
      <c r="F1183" s="69"/>
      <c r="I1183" s="69"/>
      <c r="L1183" s="69"/>
      <c r="O1183" s="69"/>
      <c r="R1183" s="69"/>
    </row>
    <row r="1184" spans="3:18" ht="16.5">
      <c r="C1184" s="69"/>
      <c r="F1184" s="69"/>
      <c r="I1184" s="69"/>
      <c r="L1184" s="69"/>
      <c r="O1184" s="69"/>
      <c r="R1184" s="69"/>
    </row>
    <row r="1185" spans="3:18" ht="16.5">
      <c r="C1185" s="69"/>
      <c r="F1185" s="69"/>
      <c r="I1185" s="69"/>
      <c r="L1185" s="69"/>
      <c r="O1185" s="69"/>
      <c r="R1185" s="69"/>
    </row>
    <row r="1186" spans="3:18" ht="16.5">
      <c r="C1186" s="69"/>
      <c r="F1186" s="69"/>
      <c r="I1186" s="69"/>
      <c r="L1186" s="69"/>
      <c r="O1186" s="69"/>
      <c r="R1186" s="69"/>
    </row>
    <row r="1187" spans="3:18" ht="16.5">
      <c r="C1187" s="69"/>
      <c r="F1187" s="69"/>
      <c r="I1187" s="69"/>
      <c r="L1187" s="69"/>
      <c r="O1187" s="69"/>
      <c r="R1187" s="69"/>
    </row>
    <row r="1188" spans="3:18" ht="16.5">
      <c r="C1188" s="69"/>
      <c r="F1188" s="69"/>
      <c r="I1188" s="69"/>
      <c r="L1188" s="69"/>
      <c r="O1188" s="69"/>
      <c r="R1188" s="69"/>
    </row>
    <row r="1189" spans="3:18" ht="16.5">
      <c r="C1189" s="69"/>
      <c r="F1189" s="69"/>
      <c r="I1189" s="69"/>
      <c r="L1189" s="69"/>
      <c r="O1189" s="69"/>
      <c r="R1189" s="69"/>
    </row>
    <row r="1190" spans="3:18" ht="16.5">
      <c r="C1190" s="69"/>
      <c r="F1190" s="69"/>
      <c r="I1190" s="69"/>
      <c r="L1190" s="69"/>
      <c r="O1190" s="69"/>
      <c r="R1190" s="69"/>
    </row>
    <row r="1191" spans="3:18" ht="16.5">
      <c r="C1191" s="69"/>
      <c r="F1191" s="69"/>
      <c r="I1191" s="69"/>
      <c r="L1191" s="69"/>
      <c r="O1191" s="69"/>
      <c r="R1191" s="69"/>
    </row>
  </sheetData>
  <sheetProtection/>
  <mergeCells count="15">
    <mergeCell ref="A1:J1"/>
    <mergeCell ref="D3:E3"/>
    <mergeCell ref="G3:H3"/>
    <mergeCell ref="J3:K3"/>
    <mergeCell ref="A4:A5"/>
    <mergeCell ref="B4:B5"/>
    <mergeCell ref="C4:E4"/>
    <mergeCell ref="F4:H4"/>
    <mergeCell ref="I4:K4"/>
    <mergeCell ref="P3:Q3"/>
    <mergeCell ref="O4:Q4"/>
    <mergeCell ref="S3:T3"/>
    <mergeCell ref="R4:T4"/>
    <mergeCell ref="M3:N3"/>
    <mergeCell ref="L4:N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B1667"/>
  <sheetViews>
    <sheetView view="pageBreakPreview" zoomScale="55" zoomScaleSheetLayoutView="55" zoomScalePageLayoutView="0" workbookViewId="0" topLeftCell="A1">
      <pane xSplit="18" ySplit="5" topLeftCell="S6" activePane="bottomRight" state="frozen"/>
      <selection pane="topLeft" activeCell="A1" sqref="A1"/>
      <selection pane="topRight" activeCell="S1" sqref="S1"/>
      <selection pane="bottomLeft" activeCell="A6" sqref="A6"/>
      <selection pane="bottomRight" activeCell="AA27" sqref="AA27:AB28"/>
    </sheetView>
  </sheetViews>
  <sheetFormatPr defaultColWidth="9.140625" defaultRowHeight="12.75"/>
  <cols>
    <col min="1" max="1" width="6.8515625" style="27" customWidth="1"/>
    <col min="2" max="2" width="52.00390625" style="8" customWidth="1"/>
    <col min="3" max="3" width="15.28125" style="8" hidden="1" customWidth="1"/>
    <col min="4" max="4" width="16.140625" style="8" hidden="1" customWidth="1"/>
    <col min="5" max="5" width="14.140625" style="8" hidden="1" customWidth="1"/>
    <col min="6" max="9" width="16.140625" style="8" hidden="1" customWidth="1"/>
    <col min="10" max="10" width="1.28515625" style="8" hidden="1" customWidth="1"/>
    <col min="11" max="11" width="15.140625" style="2" hidden="1" customWidth="1"/>
    <col min="12" max="12" width="14.7109375" style="2" hidden="1" customWidth="1"/>
    <col min="13" max="17" width="0" style="3" hidden="1" customWidth="1"/>
    <col min="18" max="18" width="11.421875" style="71" hidden="1" customWidth="1"/>
    <col min="19" max="19" width="11.28125" style="8" customWidth="1"/>
    <col min="20" max="20" width="18.00390625" style="2" customWidth="1"/>
    <col min="21" max="21" width="12.421875" style="2" customWidth="1"/>
    <col min="22" max="22" width="13.57421875" style="2" customWidth="1"/>
    <col min="23" max="23" width="14.00390625" style="2" customWidth="1"/>
    <col min="24" max="24" width="13.421875" style="2" customWidth="1"/>
    <col min="25" max="25" width="14.140625" style="2" customWidth="1"/>
    <col min="26" max="26" width="15.00390625" style="2" customWidth="1"/>
    <col min="27" max="27" width="16.00390625" style="2" customWidth="1"/>
    <col min="28" max="28" width="15.57421875" style="2" customWidth="1"/>
    <col min="29" max="16384" width="9.140625" style="3" customWidth="1"/>
  </cols>
  <sheetData>
    <row r="2" spans="1:28" s="1" customFormat="1" ht="19.5">
      <c r="A2" s="288" t="s">
        <v>371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</row>
    <row r="4" spans="3:28" ht="16.5">
      <c r="C4" s="289">
        <v>2016</v>
      </c>
      <c r="D4" s="289"/>
      <c r="E4" s="289"/>
      <c r="F4" s="289"/>
      <c r="G4" s="289"/>
      <c r="H4" s="289"/>
      <c r="I4" s="289"/>
      <c r="J4" s="289"/>
      <c r="K4" s="289"/>
      <c r="L4" s="289"/>
      <c r="AB4" s="72" t="s">
        <v>3</v>
      </c>
    </row>
    <row r="5" spans="1:28" s="5" customFormat="1" ht="97.5" customHeight="1">
      <c r="A5" s="4" t="s">
        <v>224</v>
      </c>
      <c r="B5" s="4" t="s">
        <v>391</v>
      </c>
      <c r="C5" s="73" t="s">
        <v>225</v>
      </c>
      <c r="D5" s="73" t="s">
        <v>235</v>
      </c>
      <c r="E5" s="73" t="s">
        <v>236</v>
      </c>
      <c r="F5" s="73" t="s">
        <v>237</v>
      </c>
      <c r="G5" s="73" t="s">
        <v>238</v>
      </c>
      <c r="H5" s="73" t="s">
        <v>239</v>
      </c>
      <c r="I5" s="73" t="s">
        <v>240</v>
      </c>
      <c r="J5" s="73" t="s">
        <v>241</v>
      </c>
      <c r="K5" s="4" t="s">
        <v>226</v>
      </c>
      <c r="L5" s="56" t="s">
        <v>242</v>
      </c>
      <c r="R5" s="74"/>
      <c r="S5" s="73" t="s">
        <v>225</v>
      </c>
      <c r="T5" s="73" t="s">
        <v>235</v>
      </c>
      <c r="U5" s="73" t="s">
        <v>236</v>
      </c>
      <c r="V5" s="73" t="s">
        <v>237</v>
      </c>
      <c r="W5" s="73" t="s">
        <v>238</v>
      </c>
      <c r="X5" s="73" t="s">
        <v>239</v>
      </c>
      <c r="Y5" s="73" t="s">
        <v>240</v>
      </c>
      <c r="Z5" s="73" t="s">
        <v>241</v>
      </c>
      <c r="AA5" s="4" t="s">
        <v>226</v>
      </c>
      <c r="AB5" s="56" t="s">
        <v>242</v>
      </c>
    </row>
    <row r="6" spans="1:28" s="5" customFormat="1" ht="16.5">
      <c r="A6" s="4"/>
      <c r="B6" s="4"/>
      <c r="C6" s="73"/>
      <c r="D6" s="73"/>
      <c r="E6" s="73"/>
      <c r="F6" s="73"/>
      <c r="G6" s="73"/>
      <c r="H6" s="73"/>
      <c r="I6" s="73"/>
      <c r="J6" s="73"/>
      <c r="K6" s="4"/>
      <c r="L6" s="4"/>
      <c r="R6" s="74"/>
      <c r="S6" s="73"/>
      <c r="T6" s="73"/>
      <c r="U6" s="73"/>
      <c r="V6" s="73"/>
      <c r="W6" s="73"/>
      <c r="X6" s="73"/>
      <c r="Y6" s="73"/>
      <c r="Z6" s="73"/>
      <c r="AA6" s="4"/>
      <c r="AB6" s="4"/>
    </row>
    <row r="7" spans="1:28" s="25" customFormat="1" ht="24" customHeight="1">
      <c r="A7" s="228" t="s">
        <v>61</v>
      </c>
      <c r="B7" s="229" t="s">
        <v>62</v>
      </c>
      <c r="C7" s="85">
        <f aca="true" t="shared" si="0" ref="C7:K7">C8+C9+C10+C13+C17+C18+C19</f>
        <v>36799.5</v>
      </c>
      <c r="D7" s="85">
        <f t="shared" si="0"/>
        <v>1236.4</v>
      </c>
      <c r="E7" s="85">
        <f t="shared" si="0"/>
        <v>2077.3</v>
      </c>
      <c r="F7" s="85">
        <f t="shared" si="0"/>
        <v>2332.6</v>
      </c>
      <c r="G7" s="85">
        <f t="shared" si="0"/>
        <v>1704.4</v>
      </c>
      <c r="H7" s="85">
        <f t="shared" si="0"/>
        <v>2393.2</v>
      </c>
      <c r="I7" s="85">
        <f t="shared" si="0"/>
        <v>2010.3000000000002</v>
      </c>
      <c r="J7" s="85">
        <f t="shared" si="0"/>
        <v>2410.4</v>
      </c>
      <c r="K7" s="85">
        <f t="shared" si="0"/>
        <v>14153.2</v>
      </c>
      <c r="L7" s="85">
        <f>C7+K7-K15-K29</f>
        <v>50862</v>
      </c>
      <c r="M7" s="230"/>
      <c r="N7" s="230"/>
      <c r="O7" s="230"/>
      <c r="P7" s="230"/>
      <c r="Q7" s="230"/>
      <c r="R7" s="231">
        <f>L9+L10+L13+L17+L18+L19</f>
        <v>50862</v>
      </c>
      <c r="S7" s="85">
        <f>S8+S9+S10+S13+S17+S18+S19</f>
        <v>50609.5</v>
      </c>
      <c r="T7" s="85">
        <f>T8+T9+T10+T13+T17+T18+T19</f>
        <v>4419</v>
      </c>
      <c r="U7" s="85">
        <f aca="true" t="shared" si="1" ref="U7:Z7">U8+U9+U10+U13+U17+U18+U19</f>
        <v>2711.1</v>
      </c>
      <c r="V7" s="85">
        <f t="shared" si="1"/>
        <v>2418</v>
      </c>
      <c r="W7" s="85">
        <f t="shared" si="1"/>
        <v>1171.5</v>
      </c>
      <c r="X7" s="85">
        <f t="shared" si="1"/>
        <v>2860.2</v>
      </c>
      <c r="Y7" s="85">
        <f t="shared" si="1"/>
        <v>2136.2</v>
      </c>
      <c r="Z7" s="85">
        <f t="shared" si="1"/>
        <v>2153.2999999999997</v>
      </c>
      <c r="AA7" s="85">
        <f>AA8+AA9+AA10+AA13+AA17+AA18+AA19</f>
        <v>17869.3</v>
      </c>
      <c r="AB7" s="85">
        <f>S7+AA7-AA15-AA29</f>
        <v>68287.8</v>
      </c>
    </row>
    <row r="8" spans="1:28" ht="33">
      <c r="A8" s="59" t="s">
        <v>63</v>
      </c>
      <c r="B8" s="63" t="s">
        <v>336</v>
      </c>
      <c r="C8" s="77">
        <f>0</f>
        <v>0</v>
      </c>
      <c r="D8" s="78"/>
      <c r="E8" s="78"/>
      <c r="F8" s="78"/>
      <c r="G8" s="78"/>
      <c r="H8" s="78"/>
      <c r="I8" s="78"/>
      <c r="J8" s="78"/>
      <c r="K8" s="77">
        <f>0</f>
        <v>0</v>
      </c>
      <c r="L8" s="77">
        <f aca="true" t="shared" si="2" ref="L8:L82">C8+K8</f>
        <v>0</v>
      </c>
      <c r="S8" s="77">
        <f>1560</f>
        <v>1560</v>
      </c>
      <c r="T8" s="73"/>
      <c r="U8" s="73"/>
      <c r="V8" s="73"/>
      <c r="W8" s="73"/>
      <c r="X8" s="73"/>
      <c r="Y8" s="73"/>
      <c r="Z8" s="73"/>
      <c r="AA8" s="77">
        <f aca="true" t="shared" si="3" ref="AA8:AA15">SUM(T8:Z8)</f>
        <v>0</v>
      </c>
      <c r="AB8" s="77">
        <f>S8+AA8</f>
        <v>1560</v>
      </c>
    </row>
    <row r="9" spans="1:28" ht="16.5">
      <c r="A9" s="59" t="s">
        <v>65</v>
      </c>
      <c r="B9" s="63" t="s">
        <v>243</v>
      </c>
      <c r="C9" s="77">
        <v>657</v>
      </c>
      <c r="D9" s="78">
        <v>910.8</v>
      </c>
      <c r="E9" s="78">
        <v>0</v>
      </c>
      <c r="F9" s="78"/>
      <c r="G9" s="78"/>
      <c r="H9" s="78"/>
      <c r="I9" s="78"/>
      <c r="J9" s="78"/>
      <c r="K9" s="77">
        <v>881</v>
      </c>
      <c r="L9" s="77">
        <f t="shared" si="2"/>
        <v>1538</v>
      </c>
      <c r="R9" s="79"/>
      <c r="S9" s="77">
        <f>0</f>
        <v>0</v>
      </c>
      <c r="T9" s="73">
        <f>0</f>
        <v>0</v>
      </c>
      <c r="U9" s="73">
        <v>0</v>
      </c>
      <c r="V9" s="73"/>
      <c r="W9" s="73"/>
      <c r="X9" s="73"/>
      <c r="Y9" s="73"/>
      <c r="Z9" s="73"/>
      <c r="AA9" s="77">
        <f t="shared" si="3"/>
        <v>0</v>
      </c>
      <c r="AB9" s="77">
        <f>S9+AA9</f>
        <v>0</v>
      </c>
    </row>
    <row r="10" spans="1:28" ht="16.5">
      <c r="A10" s="59" t="s">
        <v>67</v>
      </c>
      <c r="B10" s="63" t="s">
        <v>337</v>
      </c>
      <c r="C10" s="77">
        <f>C11+C12</f>
        <v>18620.7</v>
      </c>
      <c r="D10" s="77">
        <f aca="true" t="shared" si="4" ref="D10:K10">D11+D12</f>
        <v>0</v>
      </c>
      <c r="E10" s="77">
        <f t="shared" si="4"/>
        <v>2062.9</v>
      </c>
      <c r="F10" s="77">
        <f t="shared" si="4"/>
        <v>2318.2</v>
      </c>
      <c r="G10" s="77">
        <f t="shared" si="4"/>
        <v>1689.9</v>
      </c>
      <c r="H10" s="77">
        <f t="shared" si="4"/>
        <v>2378</v>
      </c>
      <c r="I10" s="77">
        <f t="shared" si="4"/>
        <v>1995.9</v>
      </c>
      <c r="J10" s="77">
        <f t="shared" si="4"/>
        <v>2396</v>
      </c>
      <c r="K10" s="77">
        <f t="shared" si="4"/>
        <v>12336.4</v>
      </c>
      <c r="L10" s="77">
        <f t="shared" si="2"/>
        <v>30957.1</v>
      </c>
      <c r="S10" s="77">
        <f>S11+S12</f>
        <v>24456.5</v>
      </c>
      <c r="T10" s="73">
        <f aca="true" t="shared" si="5" ref="T10:Z10">T11+T12</f>
        <v>0</v>
      </c>
      <c r="U10" s="73">
        <f t="shared" si="5"/>
        <v>2631.4</v>
      </c>
      <c r="V10" s="73">
        <f t="shared" si="5"/>
        <v>2358.6</v>
      </c>
      <c r="W10" s="73">
        <f t="shared" si="5"/>
        <v>1122</v>
      </c>
      <c r="X10" s="73">
        <f t="shared" si="5"/>
        <v>2797</v>
      </c>
      <c r="Y10" s="73">
        <f t="shared" si="5"/>
        <v>2083</v>
      </c>
      <c r="Z10" s="73">
        <f t="shared" si="5"/>
        <v>2098.6</v>
      </c>
      <c r="AA10" s="77">
        <f t="shared" si="3"/>
        <v>13090.6</v>
      </c>
      <c r="AB10" s="77">
        <f>S10+AA10</f>
        <v>37547.1</v>
      </c>
    </row>
    <row r="11" spans="1:28" ht="16.5">
      <c r="A11" s="59"/>
      <c r="B11" s="63" t="s">
        <v>245</v>
      </c>
      <c r="C11" s="77">
        <v>18620.7</v>
      </c>
      <c r="D11" s="78">
        <v>0</v>
      </c>
      <c r="E11" s="78">
        <f>2056.4+6.5</f>
        <v>2062.9</v>
      </c>
      <c r="F11" s="78">
        <f>1932.3+371.9+14</f>
        <v>2318.2</v>
      </c>
      <c r="G11" s="78">
        <f>1305.1+371.9+12.9</f>
        <v>1689.9</v>
      </c>
      <c r="H11" s="78">
        <f>1991.1+371.9+15</f>
        <v>2378</v>
      </c>
      <c r="I11" s="78">
        <f>1606+371.9+18</f>
        <v>1995.9</v>
      </c>
      <c r="J11" s="78">
        <f>2009.1+371.9+15</f>
        <v>2396</v>
      </c>
      <c r="K11" s="77">
        <v>12336.4</v>
      </c>
      <c r="L11" s="77">
        <f t="shared" si="2"/>
        <v>30957.1</v>
      </c>
      <c r="S11" s="77">
        <f>24456.5</f>
        <v>24456.5</v>
      </c>
      <c r="T11" s="73">
        <v>0</v>
      </c>
      <c r="U11" s="73">
        <f>2631.4</f>
        <v>2631.4</v>
      </c>
      <c r="V11" s="73">
        <f>2358.6</f>
        <v>2358.6</v>
      </c>
      <c r="W11" s="73">
        <v>1122</v>
      </c>
      <c r="X11" s="73">
        <f>2797</f>
        <v>2797</v>
      </c>
      <c r="Y11" s="73">
        <f>2083</f>
        <v>2083</v>
      </c>
      <c r="Z11" s="73">
        <f>2098.6</f>
        <v>2098.6</v>
      </c>
      <c r="AA11" s="77">
        <f t="shared" si="3"/>
        <v>13090.6</v>
      </c>
      <c r="AB11" s="77">
        <f>S11+AA11</f>
        <v>37547.1</v>
      </c>
    </row>
    <row r="12" spans="1:28" ht="16.5">
      <c r="A12" s="80"/>
      <c r="B12" s="81" t="s">
        <v>68</v>
      </c>
      <c r="C12" s="77">
        <f>0</f>
        <v>0</v>
      </c>
      <c r="D12" s="78">
        <v>0</v>
      </c>
      <c r="E12" s="78"/>
      <c r="F12" s="78"/>
      <c r="G12" s="78"/>
      <c r="H12" s="78"/>
      <c r="I12" s="78"/>
      <c r="J12" s="78"/>
      <c r="K12" s="77">
        <f aca="true" t="shared" si="6" ref="K12:K26">D12+E12+F12+G12+H12+I12+J12</f>
        <v>0</v>
      </c>
      <c r="L12" s="82">
        <f t="shared" si="2"/>
        <v>0</v>
      </c>
      <c r="S12" s="82">
        <f>0</f>
        <v>0</v>
      </c>
      <c r="T12" s="82">
        <v>0</v>
      </c>
      <c r="U12" s="85"/>
      <c r="V12" s="85"/>
      <c r="W12" s="85"/>
      <c r="X12" s="85"/>
      <c r="Y12" s="85"/>
      <c r="Z12" s="85"/>
      <c r="AA12" s="77">
        <f t="shared" si="3"/>
        <v>0</v>
      </c>
      <c r="AB12" s="82">
        <f>S12+AA12</f>
        <v>0</v>
      </c>
    </row>
    <row r="13" spans="1:28" ht="33">
      <c r="A13" s="59" t="s">
        <v>70</v>
      </c>
      <c r="B13" s="63" t="s">
        <v>338</v>
      </c>
      <c r="C13" s="77">
        <f>C14+C15+C16</f>
        <v>6575</v>
      </c>
      <c r="D13" s="78">
        <v>0</v>
      </c>
      <c r="E13" s="78"/>
      <c r="F13" s="78"/>
      <c r="G13" s="78"/>
      <c r="H13" s="78"/>
      <c r="I13" s="78"/>
      <c r="J13" s="78"/>
      <c r="K13" s="77">
        <v>90.7</v>
      </c>
      <c r="L13" s="77">
        <f>C13+K13-K15</f>
        <v>6575</v>
      </c>
      <c r="S13" s="77">
        <f>S14+S15+S16</f>
        <v>7485.2</v>
      </c>
      <c r="T13" s="73">
        <v>0</v>
      </c>
      <c r="U13" s="73">
        <f aca="true" t="shared" si="7" ref="U13:Z13">U14+U15</f>
        <v>35</v>
      </c>
      <c r="V13" s="73">
        <f t="shared" si="7"/>
        <v>35</v>
      </c>
      <c r="W13" s="73">
        <f t="shared" si="7"/>
        <v>25</v>
      </c>
      <c r="X13" s="73">
        <f t="shared" si="7"/>
        <v>38</v>
      </c>
      <c r="Y13" s="73">
        <f t="shared" si="7"/>
        <v>28</v>
      </c>
      <c r="Z13" s="73">
        <f t="shared" si="7"/>
        <v>30</v>
      </c>
      <c r="AA13" s="77">
        <f t="shared" si="3"/>
        <v>191</v>
      </c>
      <c r="AB13" s="77">
        <f>S13+AA13-AA15</f>
        <v>7485.2</v>
      </c>
    </row>
    <row r="14" spans="1:28" ht="33">
      <c r="A14" s="59"/>
      <c r="B14" s="63" t="s">
        <v>71</v>
      </c>
      <c r="C14" s="77">
        <v>5948</v>
      </c>
      <c r="D14" s="78">
        <v>0</v>
      </c>
      <c r="E14" s="78"/>
      <c r="F14" s="78"/>
      <c r="G14" s="78"/>
      <c r="H14" s="78"/>
      <c r="I14" s="78"/>
      <c r="J14" s="78"/>
      <c r="K14" s="77">
        <f t="shared" si="6"/>
        <v>0</v>
      </c>
      <c r="L14" s="77">
        <f t="shared" si="2"/>
        <v>5948</v>
      </c>
      <c r="S14" s="77">
        <v>7078</v>
      </c>
      <c r="T14" s="73">
        <v>0</v>
      </c>
      <c r="U14" s="73">
        <v>0</v>
      </c>
      <c r="V14" s="73"/>
      <c r="W14" s="73"/>
      <c r="X14" s="73"/>
      <c r="Y14" s="73"/>
      <c r="Z14" s="73"/>
      <c r="AA14" s="77">
        <f t="shared" si="3"/>
        <v>0</v>
      </c>
      <c r="AB14" s="77">
        <f>S14+AA14</f>
        <v>7078</v>
      </c>
    </row>
    <row r="15" spans="1:28" ht="33">
      <c r="A15" s="80"/>
      <c r="B15" s="81" t="s">
        <v>248</v>
      </c>
      <c r="C15" s="82">
        <f>0</f>
        <v>0</v>
      </c>
      <c r="D15" s="83">
        <v>0</v>
      </c>
      <c r="E15" s="83">
        <v>14.3</v>
      </c>
      <c r="F15" s="83">
        <v>15.6</v>
      </c>
      <c r="G15" s="83">
        <v>14</v>
      </c>
      <c r="H15" s="83">
        <v>19.3</v>
      </c>
      <c r="I15" s="83">
        <v>11.8</v>
      </c>
      <c r="J15" s="83">
        <v>15.3</v>
      </c>
      <c r="K15" s="82">
        <v>90.7</v>
      </c>
      <c r="L15" s="82"/>
      <c r="S15" s="82">
        <f>0</f>
        <v>0</v>
      </c>
      <c r="T15" s="85">
        <v>0</v>
      </c>
      <c r="U15" s="85">
        <f>35</f>
        <v>35</v>
      </c>
      <c r="V15" s="85">
        <f>35</f>
        <v>35</v>
      </c>
      <c r="W15" s="85">
        <f>25</f>
        <v>25</v>
      </c>
      <c r="X15" s="85">
        <f>38</f>
        <v>38</v>
      </c>
      <c r="Y15" s="85">
        <f>28</f>
        <v>28</v>
      </c>
      <c r="Z15" s="85">
        <f>30</f>
        <v>30</v>
      </c>
      <c r="AA15" s="85">
        <f t="shared" si="3"/>
        <v>191</v>
      </c>
      <c r="AB15" s="82"/>
    </row>
    <row r="16" spans="1:28" ht="33">
      <c r="A16" s="59"/>
      <c r="B16" s="63" t="s">
        <v>339</v>
      </c>
      <c r="C16" s="77">
        <v>627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7">
        <f t="shared" si="6"/>
        <v>0</v>
      </c>
      <c r="L16" s="77">
        <f t="shared" si="2"/>
        <v>627</v>
      </c>
      <c r="S16" s="77">
        <v>407.2</v>
      </c>
      <c r="T16" s="77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7">
        <f>T16+U16+V16+W16+X16+Y16+Z16</f>
        <v>0</v>
      </c>
      <c r="AB16" s="77">
        <f>S16+AA16</f>
        <v>407.2</v>
      </c>
    </row>
    <row r="17" spans="1:28" ht="33">
      <c r="A17" s="59" t="s">
        <v>74</v>
      </c>
      <c r="B17" s="63" t="s">
        <v>75</v>
      </c>
      <c r="C17" s="77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7">
        <f t="shared" si="6"/>
        <v>0</v>
      </c>
      <c r="L17" s="77">
        <f t="shared" si="2"/>
        <v>0</v>
      </c>
      <c r="S17" s="77">
        <v>0</v>
      </c>
      <c r="T17" s="77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7">
        <f>T17+U17+V17+W17+X17+Y17+Z17</f>
        <v>0</v>
      </c>
      <c r="AB17" s="77">
        <f>S17+AA17</f>
        <v>0</v>
      </c>
    </row>
    <row r="18" spans="1:28" ht="16.5">
      <c r="A18" s="59" t="s">
        <v>76</v>
      </c>
      <c r="B18" s="63" t="s">
        <v>77</v>
      </c>
      <c r="C18" s="77">
        <v>400</v>
      </c>
      <c r="D18" s="78">
        <v>0</v>
      </c>
      <c r="E18" s="78">
        <v>10</v>
      </c>
      <c r="F18" s="78">
        <v>10</v>
      </c>
      <c r="G18" s="78">
        <v>10</v>
      </c>
      <c r="H18" s="78">
        <v>10</v>
      </c>
      <c r="I18" s="78">
        <v>10</v>
      </c>
      <c r="J18" s="78">
        <v>10</v>
      </c>
      <c r="K18" s="77">
        <v>90</v>
      </c>
      <c r="L18" s="77">
        <f t="shared" si="2"/>
        <v>490</v>
      </c>
      <c r="S18" s="77">
        <f>500</f>
        <v>500</v>
      </c>
      <c r="T18" s="77">
        <f>200</f>
        <v>200</v>
      </c>
      <c r="U18" s="73">
        <f>40</f>
        <v>40</v>
      </c>
      <c r="V18" s="73">
        <f>20</f>
        <v>20</v>
      </c>
      <c r="W18" s="73">
        <f>20</f>
        <v>20</v>
      </c>
      <c r="X18" s="73">
        <f>20</f>
        <v>20</v>
      </c>
      <c r="Y18" s="73">
        <f>20</f>
        <v>20</v>
      </c>
      <c r="Z18" s="73">
        <f>20</f>
        <v>20</v>
      </c>
      <c r="AA18" s="77">
        <f>T18+U18+V18+W18+X18+Y18+Z18</f>
        <v>340</v>
      </c>
      <c r="AB18" s="77">
        <f>S18+AA18</f>
        <v>840</v>
      </c>
    </row>
    <row r="19" spans="1:28" ht="16.5">
      <c r="A19" s="59" t="s">
        <v>78</v>
      </c>
      <c r="B19" s="63" t="s">
        <v>79</v>
      </c>
      <c r="C19" s="77">
        <f>C20+C21+C22+C23+C24+C25+C26+C27+C29</f>
        <v>10546.8</v>
      </c>
      <c r="D19" s="77">
        <f aca="true" t="shared" si="8" ref="D19:K19">D20+D21+D22+D23+D24+D25+D26+D27+D29</f>
        <v>325.6</v>
      </c>
      <c r="E19" s="77">
        <f t="shared" si="8"/>
        <v>4.4</v>
      </c>
      <c r="F19" s="77">
        <f t="shared" si="8"/>
        <v>4.4</v>
      </c>
      <c r="G19" s="77">
        <f t="shared" si="8"/>
        <v>4.5</v>
      </c>
      <c r="H19" s="77">
        <f t="shared" si="8"/>
        <v>5.2</v>
      </c>
      <c r="I19" s="77">
        <f t="shared" si="8"/>
        <v>4.4</v>
      </c>
      <c r="J19" s="77">
        <f t="shared" si="8"/>
        <v>4.4</v>
      </c>
      <c r="K19" s="77">
        <f t="shared" si="8"/>
        <v>755.1</v>
      </c>
      <c r="L19" s="77">
        <f>C19+K19-K29</f>
        <v>11301.9</v>
      </c>
      <c r="S19" s="77">
        <f>S20+S21+S22+S23+S24+S25+S26+S27+S28+S29</f>
        <v>16607.8</v>
      </c>
      <c r="T19" s="77">
        <f>T20+T21+T22+T23+T24+T25+T26+T27+T28+T29</f>
        <v>4219</v>
      </c>
      <c r="U19" s="77">
        <f aca="true" t="shared" si="9" ref="U19:Z19">U20+U21+U22+U23+U24+U25+U26+U27+U28+U29</f>
        <v>4.7</v>
      </c>
      <c r="V19" s="77">
        <f t="shared" si="9"/>
        <v>4.4</v>
      </c>
      <c r="W19" s="77">
        <f t="shared" si="9"/>
        <v>4.5</v>
      </c>
      <c r="X19" s="77">
        <f t="shared" si="9"/>
        <v>5.2</v>
      </c>
      <c r="Y19" s="77">
        <f t="shared" si="9"/>
        <v>5.2</v>
      </c>
      <c r="Z19" s="77">
        <f t="shared" si="9"/>
        <v>4.7</v>
      </c>
      <c r="AA19" s="77">
        <f>AA20+AA21+AA22+AA23+AA24+AA25+AA26+AA27+AA28+AA29</f>
        <v>4247.7</v>
      </c>
      <c r="AB19" s="77">
        <f>AB20+AB21+AB22+AB23+AB24+AB25+AB26+AB27+AB28+AB29</f>
        <v>18855.5</v>
      </c>
    </row>
    <row r="20" spans="1:28" ht="49.5">
      <c r="A20" s="59"/>
      <c r="B20" s="63" t="s">
        <v>340</v>
      </c>
      <c r="C20" s="77">
        <v>5656.7</v>
      </c>
      <c r="D20" s="78"/>
      <c r="E20" s="78"/>
      <c r="F20" s="78"/>
      <c r="G20" s="78"/>
      <c r="H20" s="78">
        <v>0</v>
      </c>
      <c r="I20" s="78"/>
      <c r="J20" s="78"/>
      <c r="K20" s="77">
        <f t="shared" si="6"/>
        <v>0</v>
      </c>
      <c r="L20" s="77">
        <f t="shared" si="2"/>
        <v>5656.7</v>
      </c>
      <c r="S20" s="77">
        <v>6717</v>
      </c>
      <c r="T20" s="77">
        <v>0</v>
      </c>
      <c r="U20" s="73">
        <v>0</v>
      </c>
      <c r="V20" s="73"/>
      <c r="W20" s="73"/>
      <c r="X20" s="73">
        <v>0</v>
      </c>
      <c r="Y20" s="73"/>
      <c r="Z20" s="73"/>
      <c r="AA20" s="77">
        <f aca="true" t="shared" si="10" ref="AA20:AA28">T20+U20+V20+W20+X20+Y20+Z20</f>
        <v>0</v>
      </c>
      <c r="AB20" s="77">
        <f>S20+AA20</f>
        <v>6717</v>
      </c>
    </row>
    <row r="21" spans="1:28" ht="49.5">
      <c r="A21" s="59"/>
      <c r="B21" s="63" t="s">
        <v>341</v>
      </c>
      <c r="C21" s="77">
        <v>1743.1</v>
      </c>
      <c r="D21" s="78"/>
      <c r="E21" s="78"/>
      <c r="F21" s="78"/>
      <c r="G21" s="78"/>
      <c r="H21" s="78">
        <v>0</v>
      </c>
      <c r="I21" s="78"/>
      <c r="J21" s="78"/>
      <c r="K21" s="77">
        <f t="shared" si="6"/>
        <v>0</v>
      </c>
      <c r="L21" s="77">
        <f t="shared" si="2"/>
        <v>1743.1</v>
      </c>
      <c r="S21" s="77">
        <v>3374</v>
      </c>
      <c r="T21" s="77">
        <v>0</v>
      </c>
      <c r="U21" s="73">
        <v>0</v>
      </c>
      <c r="V21" s="73"/>
      <c r="W21" s="73"/>
      <c r="X21" s="73">
        <v>0</v>
      </c>
      <c r="Y21" s="73"/>
      <c r="Z21" s="73"/>
      <c r="AA21" s="77">
        <f t="shared" si="10"/>
        <v>0</v>
      </c>
      <c r="AB21" s="77">
        <f>S21+AA21</f>
        <v>3374</v>
      </c>
    </row>
    <row r="22" spans="1:28" ht="16.5">
      <c r="A22" s="59"/>
      <c r="B22" s="63" t="s">
        <v>250</v>
      </c>
      <c r="C22" s="77">
        <v>0</v>
      </c>
      <c r="D22" s="78">
        <v>325.6</v>
      </c>
      <c r="E22" s="78">
        <v>0</v>
      </c>
      <c r="F22" s="78"/>
      <c r="G22" s="78"/>
      <c r="H22" s="78"/>
      <c r="I22" s="78"/>
      <c r="J22" s="78"/>
      <c r="K22" s="77">
        <v>500</v>
      </c>
      <c r="L22" s="77">
        <f>K22</f>
        <v>500</v>
      </c>
      <c r="S22" s="77">
        <v>0</v>
      </c>
      <c r="T22" s="77">
        <f>660</f>
        <v>660</v>
      </c>
      <c r="U22" s="73">
        <v>0</v>
      </c>
      <c r="V22" s="73"/>
      <c r="W22" s="73"/>
      <c r="X22" s="73"/>
      <c r="Y22" s="73"/>
      <c r="Z22" s="73"/>
      <c r="AA22" s="77">
        <f t="shared" si="10"/>
        <v>660</v>
      </c>
      <c r="AB22" s="77">
        <f>AA22</f>
        <v>660</v>
      </c>
    </row>
    <row r="23" spans="1:28" ht="49.5">
      <c r="A23" s="59"/>
      <c r="B23" s="63" t="s">
        <v>342</v>
      </c>
      <c r="C23" s="77">
        <v>30</v>
      </c>
      <c r="D23" s="78"/>
      <c r="E23" s="78">
        <v>4.4</v>
      </c>
      <c r="F23" s="78">
        <v>4.4</v>
      </c>
      <c r="G23" s="78">
        <v>4.5</v>
      </c>
      <c r="H23" s="78">
        <v>5.2</v>
      </c>
      <c r="I23" s="78">
        <v>4.4</v>
      </c>
      <c r="J23" s="78">
        <v>4.4</v>
      </c>
      <c r="K23" s="77">
        <v>28.1</v>
      </c>
      <c r="L23" s="77">
        <f t="shared" si="2"/>
        <v>58.1</v>
      </c>
      <c r="S23" s="77">
        <f>50</f>
        <v>50</v>
      </c>
      <c r="T23" s="77">
        <f>29</f>
        <v>29</v>
      </c>
      <c r="U23" s="73">
        <f>4.7</f>
        <v>4.7</v>
      </c>
      <c r="V23" s="73">
        <v>4.4</v>
      </c>
      <c r="W23" s="73">
        <v>4.5</v>
      </c>
      <c r="X23" s="73">
        <v>5.2</v>
      </c>
      <c r="Y23" s="73">
        <v>5.2</v>
      </c>
      <c r="Z23" s="73">
        <f>4.7</f>
        <v>4.7</v>
      </c>
      <c r="AA23" s="77">
        <f t="shared" si="10"/>
        <v>57.70000000000001</v>
      </c>
      <c r="AB23" s="77">
        <f>S23+AA23</f>
        <v>107.70000000000002</v>
      </c>
    </row>
    <row r="24" spans="1:28" ht="33">
      <c r="A24" s="59"/>
      <c r="B24" s="63" t="s">
        <v>318</v>
      </c>
      <c r="C24" s="77">
        <v>0</v>
      </c>
      <c r="D24" s="78"/>
      <c r="E24" s="78"/>
      <c r="F24" s="78"/>
      <c r="G24" s="78"/>
      <c r="H24" s="78"/>
      <c r="I24" s="78"/>
      <c r="J24" s="78"/>
      <c r="K24" s="77">
        <f t="shared" si="6"/>
        <v>0</v>
      </c>
      <c r="L24" s="77">
        <f t="shared" si="2"/>
        <v>0</v>
      </c>
      <c r="S24" s="77">
        <f>263.3</f>
        <v>263.3</v>
      </c>
      <c r="T24" s="77">
        <f>200</f>
        <v>200</v>
      </c>
      <c r="U24" s="73"/>
      <c r="V24" s="73"/>
      <c r="W24" s="73"/>
      <c r="X24" s="73"/>
      <c r="Y24" s="73"/>
      <c r="Z24" s="73"/>
      <c r="AA24" s="77">
        <f t="shared" si="10"/>
        <v>200</v>
      </c>
      <c r="AB24" s="77">
        <f>S24+AA24</f>
        <v>463.3</v>
      </c>
    </row>
    <row r="25" spans="1:28" ht="49.5">
      <c r="A25" s="59"/>
      <c r="B25" s="63" t="s">
        <v>343</v>
      </c>
      <c r="C25" s="77">
        <v>100</v>
      </c>
      <c r="D25" s="78"/>
      <c r="E25" s="78"/>
      <c r="F25" s="78"/>
      <c r="G25" s="78"/>
      <c r="H25" s="78"/>
      <c r="I25" s="78"/>
      <c r="J25" s="78"/>
      <c r="K25" s="77">
        <v>47</v>
      </c>
      <c r="L25" s="77">
        <f t="shared" si="2"/>
        <v>147</v>
      </c>
      <c r="S25" s="77">
        <f>200</f>
        <v>200</v>
      </c>
      <c r="T25" s="77">
        <f>0</f>
        <v>0</v>
      </c>
      <c r="U25" s="73"/>
      <c r="V25" s="73"/>
      <c r="W25" s="73"/>
      <c r="X25" s="73"/>
      <c r="Y25" s="73"/>
      <c r="Z25" s="73"/>
      <c r="AA25" s="77">
        <f t="shared" si="10"/>
        <v>0</v>
      </c>
      <c r="AB25" s="77">
        <f>S25+AA25</f>
        <v>200</v>
      </c>
    </row>
    <row r="26" spans="1:28" ht="82.5">
      <c r="A26" s="59"/>
      <c r="B26" s="63" t="s">
        <v>372</v>
      </c>
      <c r="C26" s="77">
        <v>3017</v>
      </c>
      <c r="D26" s="78"/>
      <c r="E26" s="78"/>
      <c r="F26" s="78"/>
      <c r="G26" s="78"/>
      <c r="H26" s="78"/>
      <c r="I26" s="78"/>
      <c r="J26" s="78"/>
      <c r="K26" s="77">
        <f t="shared" si="6"/>
        <v>0</v>
      </c>
      <c r="L26" s="77">
        <f t="shared" si="2"/>
        <v>3017</v>
      </c>
      <c r="S26" s="77">
        <f>4003.5</f>
        <v>4003.5</v>
      </c>
      <c r="T26" s="77">
        <f>0</f>
        <v>0</v>
      </c>
      <c r="U26" s="73"/>
      <c r="V26" s="73"/>
      <c r="W26" s="73"/>
      <c r="X26" s="73"/>
      <c r="Y26" s="73"/>
      <c r="Z26" s="73"/>
      <c r="AA26" s="77">
        <f t="shared" si="10"/>
        <v>0</v>
      </c>
      <c r="AB26" s="77">
        <f>S26+AA26</f>
        <v>4003.5</v>
      </c>
    </row>
    <row r="27" spans="1:28" ht="27.75" customHeight="1">
      <c r="A27" s="59"/>
      <c r="B27" s="63" t="s">
        <v>252</v>
      </c>
      <c r="C27" s="77">
        <v>0</v>
      </c>
      <c r="D27" s="78"/>
      <c r="E27" s="78"/>
      <c r="F27" s="78"/>
      <c r="G27" s="78"/>
      <c r="H27" s="78"/>
      <c r="I27" s="78"/>
      <c r="J27" s="78"/>
      <c r="K27" s="77">
        <v>180</v>
      </c>
      <c r="L27" s="77">
        <f t="shared" si="2"/>
        <v>180</v>
      </c>
      <c r="S27" s="77">
        <v>0</v>
      </c>
      <c r="T27" s="77">
        <f>230</f>
        <v>230</v>
      </c>
      <c r="U27" s="73"/>
      <c r="V27" s="73"/>
      <c r="W27" s="73"/>
      <c r="X27" s="73"/>
      <c r="Y27" s="73"/>
      <c r="Z27" s="73"/>
      <c r="AA27" s="77">
        <f t="shared" si="10"/>
        <v>230</v>
      </c>
      <c r="AB27" s="77">
        <f>U27+V27+W27+X27+Y27+Z27+AA27</f>
        <v>230</v>
      </c>
    </row>
    <row r="28" spans="1:28" ht="33">
      <c r="A28" s="59"/>
      <c r="B28" s="63" t="s">
        <v>14</v>
      </c>
      <c r="C28" s="77"/>
      <c r="D28" s="78"/>
      <c r="E28" s="78"/>
      <c r="F28" s="78"/>
      <c r="G28" s="78"/>
      <c r="H28" s="78"/>
      <c r="I28" s="78"/>
      <c r="J28" s="78"/>
      <c r="K28" s="77"/>
      <c r="L28" s="77"/>
      <c r="S28" s="77">
        <f>2000</f>
        <v>2000</v>
      </c>
      <c r="T28" s="77">
        <f>3100</f>
        <v>3100</v>
      </c>
      <c r="U28" s="73"/>
      <c r="V28" s="73"/>
      <c r="W28" s="73"/>
      <c r="X28" s="73"/>
      <c r="Y28" s="73"/>
      <c r="Z28" s="73"/>
      <c r="AA28" s="77">
        <f t="shared" si="10"/>
        <v>3100</v>
      </c>
      <c r="AB28" s="77">
        <f>U28+V28+W28+X28+Y28+Z28+AA28</f>
        <v>3100</v>
      </c>
    </row>
    <row r="29" spans="1:28" ht="16.5" hidden="1">
      <c r="A29" s="59"/>
      <c r="B29" s="63" t="s">
        <v>253</v>
      </c>
      <c r="C29" s="77"/>
      <c r="D29" s="78"/>
      <c r="E29" s="78"/>
      <c r="F29" s="78"/>
      <c r="G29" s="78"/>
      <c r="H29" s="78"/>
      <c r="I29" s="78"/>
      <c r="J29" s="78"/>
      <c r="K29" s="77">
        <v>0</v>
      </c>
      <c r="L29" s="77"/>
      <c r="S29" s="77"/>
      <c r="T29" s="77"/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7">
        <v>0</v>
      </c>
      <c r="AB29" s="77"/>
    </row>
    <row r="30" spans="1:28" s="1" customFormat="1" ht="21" customHeight="1">
      <c r="A30" s="228" t="s">
        <v>86</v>
      </c>
      <c r="B30" s="229" t="s">
        <v>87</v>
      </c>
      <c r="C30" s="85">
        <f>C31</f>
        <v>0</v>
      </c>
      <c r="D30" s="232">
        <f aca="true" t="shared" si="11" ref="D30:J30">D31</f>
        <v>0</v>
      </c>
      <c r="E30" s="232">
        <f t="shared" si="11"/>
        <v>0</v>
      </c>
      <c r="F30" s="232">
        <f t="shared" si="11"/>
        <v>0</v>
      </c>
      <c r="G30" s="232">
        <f t="shared" si="11"/>
        <v>0</v>
      </c>
      <c r="H30" s="232">
        <f t="shared" si="11"/>
        <v>0</v>
      </c>
      <c r="I30" s="232">
        <f t="shared" si="11"/>
        <v>0</v>
      </c>
      <c r="J30" s="232">
        <f t="shared" si="11"/>
        <v>0</v>
      </c>
      <c r="K30" s="85">
        <f>K31</f>
        <v>960</v>
      </c>
      <c r="L30" s="85">
        <f t="shared" si="2"/>
        <v>960</v>
      </c>
      <c r="M30" s="134"/>
      <c r="N30" s="134"/>
      <c r="O30" s="134"/>
      <c r="P30" s="134"/>
      <c r="Q30" s="134"/>
      <c r="R30" s="233"/>
      <c r="S30" s="85">
        <f>S31</f>
        <v>0</v>
      </c>
      <c r="T30" s="85">
        <f aca="true" t="shared" si="12" ref="T30:Z30">T31</f>
        <v>0</v>
      </c>
      <c r="U30" s="85">
        <f t="shared" si="12"/>
        <v>167.8</v>
      </c>
      <c r="V30" s="85">
        <f t="shared" si="12"/>
        <v>67.1</v>
      </c>
      <c r="W30" s="85">
        <f t="shared" si="12"/>
        <v>167.8</v>
      </c>
      <c r="X30" s="85">
        <f t="shared" si="12"/>
        <v>167.8</v>
      </c>
      <c r="Y30" s="85">
        <f t="shared" si="12"/>
        <v>167.8</v>
      </c>
      <c r="Z30" s="85">
        <f t="shared" si="12"/>
        <v>167.8</v>
      </c>
      <c r="AA30" s="85">
        <f>AA31</f>
        <v>906.0999999999999</v>
      </c>
      <c r="AB30" s="85">
        <f>S30+AA30</f>
        <v>906.0999999999999</v>
      </c>
    </row>
    <row r="31" spans="1:28" ht="49.5">
      <c r="A31" s="59" t="s">
        <v>88</v>
      </c>
      <c r="B31" s="63" t="s">
        <v>254</v>
      </c>
      <c r="C31" s="77">
        <v>0</v>
      </c>
      <c r="D31" s="78"/>
      <c r="E31" s="78"/>
      <c r="F31" s="78"/>
      <c r="G31" s="78"/>
      <c r="H31" s="78"/>
      <c r="I31" s="78"/>
      <c r="J31" s="78"/>
      <c r="K31" s="77">
        <v>960</v>
      </c>
      <c r="L31" s="77">
        <f t="shared" si="2"/>
        <v>960</v>
      </c>
      <c r="S31" s="77">
        <v>0</v>
      </c>
      <c r="T31" s="77"/>
      <c r="U31" s="73">
        <f>167.8</f>
        <v>167.8</v>
      </c>
      <c r="V31" s="73">
        <f>67.1</f>
        <v>67.1</v>
      </c>
      <c r="W31" s="73">
        <f>167.8</f>
        <v>167.8</v>
      </c>
      <c r="X31" s="73">
        <f>167.8</f>
        <v>167.8</v>
      </c>
      <c r="Y31" s="73">
        <f>167.8</f>
        <v>167.8</v>
      </c>
      <c r="Z31" s="73">
        <f>167.8</f>
        <v>167.8</v>
      </c>
      <c r="AA31" s="77">
        <f>T31+U31+V31+W31+X31+Y31+Z31</f>
        <v>906.0999999999999</v>
      </c>
      <c r="AB31" s="77">
        <f>S31+AA31</f>
        <v>906.0999999999999</v>
      </c>
    </row>
    <row r="32" spans="1:28" s="1" customFormat="1" ht="49.5">
      <c r="A32" s="228" t="s">
        <v>90</v>
      </c>
      <c r="B32" s="229" t="s">
        <v>345</v>
      </c>
      <c r="C32" s="85">
        <f>C33+C36</f>
        <v>200</v>
      </c>
      <c r="D32" s="232">
        <f aca="true" t="shared" si="13" ref="D32:J32">D33+D36</f>
        <v>580</v>
      </c>
      <c r="E32" s="232">
        <f t="shared" si="13"/>
        <v>0</v>
      </c>
      <c r="F32" s="232">
        <f t="shared" si="13"/>
        <v>100</v>
      </c>
      <c r="G32" s="232">
        <f t="shared" si="13"/>
        <v>0</v>
      </c>
      <c r="H32" s="232">
        <f t="shared" si="13"/>
        <v>30</v>
      </c>
      <c r="I32" s="232">
        <f t="shared" si="13"/>
        <v>0</v>
      </c>
      <c r="J32" s="232">
        <f t="shared" si="13"/>
        <v>0</v>
      </c>
      <c r="K32" s="85">
        <f>K33+K36</f>
        <v>630</v>
      </c>
      <c r="L32" s="85">
        <f>C32+K32</f>
        <v>830</v>
      </c>
      <c r="M32" s="134"/>
      <c r="N32" s="134"/>
      <c r="O32" s="134"/>
      <c r="P32" s="134"/>
      <c r="Q32" s="134"/>
      <c r="R32" s="233"/>
      <c r="S32" s="85">
        <f>S33+S36</f>
        <v>200</v>
      </c>
      <c r="T32" s="85">
        <f aca="true" t="shared" si="14" ref="T32:Z32">T33+T36</f>
        <v>690</v>
      </c>
      <c r="U32" s="85">
        <f t="shared" si="14"/>
        <v>0</v>
      </c>
      <c r="V32" s="85">
        <f t="shared" si="14"/>
        <v>0</v>
      </c>
      <c r="W32" s="85">
        <f t="shared" si="14"/>
        <v>0</v>
      </c>
      <c r="X32" s="85">
        <f t="shared" si="14"/>
        <v>0</v>
      </c>
      <c r="Y32" s="85">
        <f t="shared" si="14"/>
        <v>0</v>
      </c>
      <c r="Z32" s="85">
        <f t="shared" si="14"/>
        <v>0</v>
      </c>
      <c r="AA32" s="85">
        <f>AA33+AA36</f>
        <v>690</v>
      </c>
      <c r="AB32" s="85">
        <f>S32+AA32</f>
        <v>890</v>
      </c>
    </row>
    <row r="33" spans="1:28" ht="47.25">
      <c r="A33" s="59" t="s">
        <v>91</v>
      </c>
      <c r="B33" s="86" t="s">
        <v>373</v>
      </c>
      <c r="C33" s="77">
        <f>C34</f>
        <v>200</v>
      </c>
      <c r="D33" s="78">
        <f>D34</f>
        <v>580</v>
      </c>
      <c r="E33" s="78"/>
      <c r="F33" s="78"/>
      <c r="G33" s="78"/>
      <c r="H33" s="78"/>
      <c r="I33" s="78"/>
      <c r="J33" s="78"/>
      <c r="K33" s="77">
        <v>630</v>
      </c>
      <c r="L33" s="77">
        <f>C33+K33-K35</f>
        <v>830</v>
      </c>
      <c r="S33" s="77">
        <f>S34</f>
        <v>200</v>
      </c>
      <c r="T33" s="77">
        <f>T34</f>
        <v>690</v>
      </c>
      <c r="U33" s="73"/>
      <c r="V33" s="73"/>
      <c r="W33" s="73"/>
      <c r="X33" s="73"/>
      <c r="Y33" s="73"/>
      <c r="Z33" s="73"/>
      <c r="AA33" s="77">
        <f>AA34</f>
        <v>690</v>
      </c>
      <c r="AB33" s="77">
        <f>S33+AA33-AA35</f>
        <v>890</v>
      </c>
    </row>
    <row r="34" spans="1:28" ht="16.5">
      <c r="A34" s="59"/>
      <c r="B34" s="63" t="s">
        <v>100</v>
      </c>
      <c r="C34" s="77">
        <v>200</v>
      </c>
      <c r="D34" s="78">
        <v>580</v>
      </c>
      <c r="E34" s="78"/>
      <c r="F34" s="78"/>
      <c r="G34" s="78"/>
      <c r="H34" s="78"/>
      <c r="I34" s="78"/>
      <c r="J34" s="78"/>
      <c r="K34" s="77">
        <v>630</v>
      </c>
      <c r="L34" s="77">
        <f t="shared" si="2"/>
        <v>830</v>
      </c>
      <c r="S34" s="77">
        <v>200</v>
      </c>
      <c r="T34" s="77">
        <f>530+150+10</f>
        <v>690</v>
      </c>
      <c r="U34" s="73"/>
      <c r="V34" s="73"/>
      <c r="W34" s="73"/>
      <c r="X34" s="73"/>
      <c r="Y34" s="73"/>
      <c r="Z34" s="73"/>
      <c r="AA34" s="77">
        <f>T34+U34+V34+W34+X34+Y34+Z34</f>
        <v>690</v>
      </c>
      <c r="AB34" s="77">
        <f>S34+AA34</f>
        <v>890</v>
      </c>
    </row>
    <row r="35" spans="1:28" ht="16.5" hidden="1">
      <c r="A35" s="80"/>
      <c r="B35" s="81" t="s">
        <v>72</v>
      </c>
      <c r="C35" s="77"/>
      <c r="D35" s="78"/>
      <c r="E35" s="78"/>
      <c r="F35" s="78"/>
      <c r="G35" s="78"/>
      <c r="H35" s="78"/>
      <c r="I35" s="78"/>
      <c r="J35" s="78"/>
      <c r="K35" s="77"/>
      <c r="L35" s="82"/>
      <c r="S35" s="82"/>
      <c r="T35" s="82"/>
      <c r="U35" s="85"/>
      <c r="V35" s="85"/>
      <c r="W35" s="85"/>
      <c r="X35" s="85"/>
      <c r="Y35" s="85"/>
      <c r="Z35" s="85"/>
      <c r="AA35" s="77"/>
      <c r="AB35" s="82"/>
    </row>
    <row r="36" spans="1:28" ht="16.5">
      <c r="A36" s="59" t="s">
        <v>98</v>
      </c>
      <c r="B36" s="63" t="s">
        <v>99</v>
      </c>
      <c r="C36" s="77">
        <f>C37</f>
        <v>0</v>
      </c>
      <c r="D36" s="78">
        <f aca="true" t="shared" si="15" ref="D36:J36">D37</f>
        <v>0</v>
      </c>
      <c r="E36" s="78">
        <f t="shared" si="15"/>
        <v>0</v>
      </c>
      <c r="F36" s="78">
        <f t="shared" si="15"/>
        <v>100</v>
      </c>
      <c r="G36" s="78">
        <f t="shared" si="15"/>
        <v>0</v>
      </c>
      <c r="H36" s="78">
        <f t="shared" si="15"/>
        <v>30</v>
      </c>
      <c r="I36" s="78">
        <f t="shared" si="15"/>
        <v>0</v>
      </c>
      <c r="J36" s="78">
        <f t="shared" si="15"/>
        <v>0</v>
      </c>
      <c r="K36" s="77">
        <f>K37</f>
        <v>0</v>
      </c>
      <c r="L36" s="77">
        <f t="shared" si="2"/>
        <v>0</v>
      </c>
      <c r="S36" s="77">
        <f>S37</f>
        <v>0</v>
      </c>
      <c r="T36" s="77">
        <f aca="true" t="shared" si="16" ref="T36:Z36">T37</f>
        <v>0</v>
      </c>
      <c r="U36" s="73">
        <f t="shared" si="16"/>
        <v>0</v>
      </c>
      <c r="V36" s="73">
        <f t="shared" si="16"/>
        <v>0</v>
      </c>
      <c r="W36" s="73">
        <f t="shared" si="16"/>
        <v>0</v>
      </c>
      <c r="X36" s="73">
        <f t="shared" si="16"/>
        <v>0</v>
      </c>
      <c r="Y36" s="73">
        <f t="shared" si="16"/>
        <v>0</v>
      </c>
      <c r="Z36" s="73">
        <f t="shared" si="16"/>
        <v>0</v>
      </c>
      <c r="AA36" s="77">
        <f>AA37</f>
        <v>0</v>
      </c>
      <c r="AB36" s="77">
        <f>S36+AA36</f>
        <v>0</v>
      </c>
    </row>
    <row r="37" spans="1:28" ht="16.5">
      <c r="A37" s="59"/>
      <c r="B37" s="63" t="s">
        <v>100</v>
      </c>
      <c r="C37" s="77">
        <f>0</f>
        <v>0</v>
      </c>
      <c r="D37" s="78"/>
      <c r="E37" s="78">
        <v>0</v>
      </c>
      <c r="F37" s="78">
        <v>100</v>
      </c>
      <c r="G37" s="78"/>
      <c r="H37" s="78">
        <v>30</v>
      </c>
      <c r="I37" s="78"/>
      <c r="J37" s="78"/>
      <c r="K37" s="77">
        <v>0</v>
      </c>
      <c r="L37" s="77">
        <f t="shared" si="2"/>
        <v>0</v>
      </c>
      <c r="S37" s="77">
        <f>0</f>
        <v>0</v>
      </c>
      <c r="T37" s="77"/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7">
        <v>0</v>
      </c>
      <c r="AB37" s="77">
        <f>S37+AA37</f>
        <v>0</v>
      </c>
    </row>
    <row r="38" spans="1:28" s="1" customFormat="1" ht="26.25" customHeight="1">
      <c r="A38" s="228" t="s">
        <v>101</v>
      </c>
      <c r="B38" s="229" t="s">
        <v>102</v>
      </c>
      <c r="C38" s="85">
        <f>C40+C45</f>
        <v>46816.7</v>
      </c>
      <c r="D38" s="232">
        <f aca="true" t="shared" si="17" ref="D38:J38">D40+D45</f>
        <v>8504.5</v>
      </c>
      <c r="E38" s="232">
        <f t="shared" si="17"/>
        <v>0</v>
      </c>
      <c r="F38" s="232">
        <f t="shared" si="17"/>
        <v>0</v>
      </c>
      <c r="G38" s="232">
        <f t="shared" si="17"/>
        <v>0</v>
      </c>
      <c r="H38" s="232">
        <f t="shared" si="17"/>
        <v>0</v>
      </c>
      <c r="I38" s="232">
        <f t="shared" si="17"/>
        <v>0</v>
      </c>
      <c r="J38" s="232">
        <f t="shared" si="17"/>
        <v>0</v>
      </c>
      <c r="K38" s="85">
        <f>K40+K45</f>
        <v>5833.9</v>
      </c>
      <c r="L38" s="85">
        <f>C38+K38-K44</f>
        <v>52650.6</v>
      </c>
      <c r="M38" s="134"/>
      <c r="N38" s="134"/>
      <c r="O38" s="134"/>
      <c r="P38" s="134"/>
      <c r="Q38" s="134"/>
      <c r="R38" s="234"/>
      <c r="S38" s="85">
        <f>S39+S40+S45</f>
        <v>29833.300000000003</v>
      </c>
      <c r="T38" s="85">
        <f aca="true" t="shared" si="18" ref="T38:AA38">T39+T40+T45</f>
        <v>5662.4</v>
      </c>
      <c r="U38" s="85">
        <f t="shared" si="18"/>
        <v>20</v>
      </c>
      <c r="V38" s="85">
        <f t="shared" si="18"/>
        <v>0</v>
      </c>
      <c r="W38" s="85">
        <f t="shared" si="18"/>
        <v>0</v>
      </c>
      <c r="X38" s="85">
        <f t="shared" si="18"/>
        <v>20</v>
      </c>
      <c r="Y38" s="85">
        <f t="shared" si="18"/>
        <v>0</v>
      </c>
      <c r="Z38" s="85">
        <f t="shared" si="18"/>
        <v>50</v>
      </c>
      <c r="AA38" s="85">
        <f t="shared" si="18"/>
        <v>5752.4</v>
      </c>
      <c r="AB38" s="85">
        <f>S38+AA38-AA44</f>
        <v>35585.700000000004</v>
      </c>
    </row>
    <row r="39" spans="1:28" s="1" customFormat="1" ht="27" customHeight="1">
      <c r="A39" s="59" t="s">
        <v>221</v>
      </c>
      <c r="B39" s="63" t="s">
        <v>214</v>
      </c>
      <c r="C39" s="73"/>
      <c r="D39" s="61"/>
      <c r="E39" s="61"/>
      <c r="F39" s="61"/>
      <c r="G39" s="61"/>
      <c r="H39" s="61"/>
      <c r="I39" s="61"/>
      <c r="J39" s="61"/>
      <c r="K39" s="73"/>
      <c r="L39" s="73"/>
      <c r="R39" s="87"/>
      <c r="S39" s="77">
        <f>133.9</f>
        <v>133.9</v>
      </c>
      <c r="T39" s="77"/>
      <c r="U39" s="73"/>
      <c r="V39" s="73"/>
      <c r="W39" s="73"/>
      <c r="X39" s="73"/>
      <c r="Y39" s="73"/>
      <c r="Z39" s="73"/>
      <c r="AA39" s="77">
        <f>0</f>
        <v>0</v>
      </c>
      <c r="AB39" s="77">
        <f>S39+AA39</f>
        <v>133.9</v>
      </c>
    </row>
    <row r="40" spans="1:28" ht="24" customHeight="1">
      <c r="A40" s="59" t="s">
        <v>103</v>
      </c>
      <c r="B40" s="88" t="s">
        <v>374</v>
      </c>
      <c r="C40" s="77">
        <f>C41+C42+C43+C44</f>
        <v>46716.7</v>
      </c>
      <c r="D40" s="77">
        <f aca="true" t="shared" si="19" ref="D40:K40">D41+D42+D43+D44</f>
        <v>8504.5</v>
      </c>
      <c r="E40" s="77">
        <f t="shared" si="19"/>
        <v>0</v>
      </c>
      <c r="F40" s="77">
        <f t="shared" si="19"/>
        <v>0</v>
      </c>
      <c r="G40" s="77">
        <f t="shared" si="19"/>
        <v>0</v>
      </c>
      <c r="H40" s="77">
        <f t="shared" si="19"/>
        <v>0</v>
      </c>
      <c r="I40" s="77">
        <f t="shared" si="19"/>
        <v>0</v>
      </c>
      <c r="J40" s="77">
        <f t="shared" si="19"/>
        <v>0</v>
      </c>
      <c r="K40" s="77">
        <f t="shared" si="19"/>
        <v>5833.9</v>
      </c>
      <c r="L40" s="77">
        <f>C40+K40-K44</f>
        <v>52550.6</v>
      </c>
      <c r="S40" s="77">
        <f>S41+S42+S43+S44</f>
        <v>27984.4</v>
      </c>
      <c r="T40" s="77">
        <f aca="true" t="shared" si="20" ref="T40:AA40">T41+T42+T43+T44</f>
        <v>5662.4</v>
      </c>
      <c r="U40" s="245">
        <f t="shared" si="20"/>
        <v>0</v>
      </c>
      <c r="V40" s="245">
        <f t="shared" si="20"/>
        <v>0</v>
      </c>
      <c r="W40" s="245">
        <f t="shared" si="20"/>
        <v>0</v>
      </c>
      <c r="X40" s="245">
        <f t="shared" si="20"/>
        <v>0</v>
      </c>
      <c r="Y40" s="245">
        <f t="shared" si="20"/>
        <v>0</v>
      </c>
      <c r="Z40" s="245">
        <f t="shared" si="20"/>
        <v>0</v>
      </c>
      <c r="AA40" s="77">
        <f t="shared" si="20"/>
        <v>5662.4</v>
      </c>
      <c r="AB40" s="77">
        <f>S40+AA40-AA44</f>
        <v>33646.8</v>
      </c>
    </row>
    <row r="41" spans="1:28" ht="47.25" hidden="1">
      <c r="A41" s="59"/>
      <c r="B41" s="88" t="s">
        <v>258</v>
      </c>
      <c r="C41" s="77">
        <v>17245.8</v>
      </c>
      <c r="D41" s="78"/>
      <c r="E41" s="78"/>
      <c r="F41" s="78"/>
      <c r="G41" s="78"/>
      <c r="H41" s="78"/>
      <c r="I41" s="78"/>
      <c r="J41" s="78"/>
      <c r="K41" s="77">
        <f>D41+E41+F41+G41+H41+I41+J41</f>
        <v>0</v>
      </c>
      <c r="L41" s="77">
        <f t="shared" si="2"/>
        <v>17245.8</v>
      </c>
      <c r="S41" s="77">
        <f>0</f>
        <v>0</v>
      </c>
      <c r="T41" s="77"/>
      <c r="U41" s="73"/>
      <c r="V41" s="73"/>
      <c r="W41" s="73"/>
      <c r="X41" s="73"/>
      <c r="Y41" s="73"/>
      <c r="Z41" s="73"/>
      <c r="AA41" s="77">
        <f>T41+U41+V41+W41+X41+Y41+Z41</f>
        <v>0</v>
      </c>
      <c r="AB41" s="77">
        <f>S41+AA41</f>
        <v>0</v>
      </c>
    </row>
    <row r="42" spans="1:28" ht="31.5">
      <c r="A42" s="59"/>
      <c r="B42" s="86" t="s">
        <v>14</v>
      </c>
      <c r="C42" s="77">
        <f>172.5</f>
        <v>172.5</v>
      </c>
      <c r="D42" s="78"/>
      <c r="E42" s="78"/>
      <c r="F42" s="78"/>
      <c r="G42" s="78"/>
      <c r="H42" s="78"/>
      <c r="I42" s="78"/>
      <c r="J42" s="78"/>
      <c r="K42" s="77">
        <f>0</f>
        <v>0</v>
      </c>
      <c r="L42" s="77">
        <f t="shared" si="2"/>
        <v>172.5</v>
      </c>
      <c r="S42" s="77">
        <f>9000</f>
        <v>9000</v>
      </c>
      <c r="T42" s="77">
        <f>0</f>
        <v>0</v>
      </c>
      <c r="U42" s="73"/>
      <c r="V42" s="73"/>
      <c r="W42" s="73"/>
      <c r="X42" s="73"/>
      <c r="Y42" s="73"/>
      <c r="Z42" s="73"/>
      <c r="AA42" s="77">
        <f aca="true" t="shared" si="21" ref="AA42:AA48">T42+U42+V42+W42+X42+Y42+Z42</f>
        <v>0</v>
      </c>
      <c r="AB42" s="77">
        <f>S42+AA42</f>
        <v>9000</v>
      </c>
    </row>
    <row r="43" spans="1:28" ht="25.5" customHeight="1">
      <c r="A43" s="59"/>
      <c r="B43" s="86" t="s">
        <v>100</v>
      </c>
      <c r="C43" s="77">
        <f>(22000+7883.8-412.9-172.5)</f>
        <v>29298.399999999998</v>
      </c>
      <c r="D43" s="78">
        <v>8504.5</v>
      </c>
      <c r="E43" s="78"/>
      <c r="F43" s="78"/>
      <c r="G43" s="78"/>
      <c r="H43" s="78"/>
      <c r="I43" s="78"/>
      <c r="J43" s="78"/>
      <c r="K43" s="77">
        <v>5833.9</v>
      </c>
      <c r="L43" s="77">
        <f t="shared" si="2"/>
        <v>35132.299999999996</v>
      </c>
      <c r="S43" s="77">
        <f>18984.4</f>
        <v>18984.4</v>
      </c>
      <c r="T43" s="77">
        <f>5662.4</f>
        <v>5662.4</v>
      </c>
      <c r="U43" s="73"/>
      <c r="V43" s="73"/>
      <c r="W43" s="73"/>
      <c r="X43" s="73"/>
      <c r="Y43" s="73"/>
      <c r="Z43" s="73"/>
      <c r="AA43" s="77">
        <f t="shared" si="21"/>
        <v>5662.4</v>
      </c>
      <c r="AB43" s="77">
        <f>S43+AA43</f>
        <v>24646.800000000003</v>
      </c>
    </row>
    <row r="44" spans="1:28" ht="33" hidden="1">
      <c r="A44" s="80"/>
      <c r="B44" s="81" t="s">
        <v>260</v>
      </c>
      <c r="C44" s="89">
        <v>0</v>
      </c>
      <c r="D44" s="90"/>
      <c r="E44" s="90"/>
      <c r="F44" s="90"/>
      <c r="G44" s="90"/>
      <c r="H44" s="90"/>
      <c r="I44" s="90"/>
      <c r="J44" s="90"/>
      <c r="K44" s="89">
        <f>7883.8-7883.8</f>
        <v>0</v>
      </c>
      <c r="L44" s="89"/>
      <c r="S44" s="82">
        <v>0</v>
      </c>
      <c r="T44" s="82"/>
      <c r="U44" s="85">
        <f>1498.2-1498.2</f>
        <v>0</v>
      </c>
      <c r="V44" s="85">
        <f>1593.6-1593.6</f>
        <v>0</v>
      </c>
      <c r="W44" s="85">
        <f>634.1-634.1</f>
        <v>0</v>
      </c>
      <c r="X44" s="85">
        <f>1660.9-1660.9</f>
        <v>0</v>
      </c>
      <c r="Y44" s="85">
        <f>1559.9-1559.9</f>
        <v>0</v>
      </c>
      <c r="Z44" s="85">
        <f>937.1-937.1</f>
        <v>0</v>
      </c>
      <c r="AA44" s="77">
        <f t="shared" si="21"/>
        <v>0</v>
      </c>
      <c r="AB44" s="89"/>
    </row>
    <row r="45" spans="1:28" ht="16.5">
      <c r="A45" s="59" t="s">
        <v>105</v>
      </c>
      <c r="B45" s="63" t="s">
        <v>106</v>
      </c>
      <c r="C45" s="77">
        <f>C46+C47+C48</f>
        <v>100</v>
      </c>
      <c r="D45" s="78">
        <f aca="true" t="shared" si="22" ref="D45:J45">D46+D47+D48</f>
        <v>0</v>
      </c>
      <c r="E45" s="78">
        <f t="shared" si="22"/>
        <v>0</v>
      </c>
      <c r="F45" s="78">
        <f t="shared" si="22"/>
        <v>0</v>
      </c>
      <c r="G45" s="78">
        <f t="shared" si="22"/>
        <v>0</v>
      </c>
      <c r="H45" s="78">
        <f t="shared" si="22"/>
        <v>0</v>
      </c>
      <c r="I45" s="78">
        <f t="shared" si="22"/>
        <v>0</v>
      </c>
      <c r="J45" s="78">
        <f t="shared" si="22"/>
        <v>0</v>
      </c>
      <c r="K45" s="77">
        <f>K46+K47+K48</f>
        <v>0</v>
      </c>
      <c r="L45" s="77">
        <f>C45+K45-K45</f>
        <v>100</v>
      </c>
      <c r="S45" s="77">
        <f>S46+S47+S48</f>
        <v>1715</v>
      </c>
      <c r="T45" s="77">
        <f aca="true" t="shared" si="23" ref="T45:Z45">T46+T47+T48</f>
        <v>0</v>
      </c>
      <c r="U45" s="73">
        <f t="shared" si="23"/>
        <v>20</v>
      </c>
      <c r="V45" s="73">
        <f t="shared" si="23"/>
        <v>0</v>
      </c>
      <c r="W45" s="73">
        <f t="shared" si="23"/>
        <v>0</v>
      </c>
      <c r="X45" s="73">
        <f t="shared" si="23"/>
        <v>20</v>
      </c>
      <c r="Y45" s="73">
        <f t="shared" si="23"/>
        <v>0</v>
      </c>
      <c r="Z45" s="73">
        <f t="shared" si="23"/>
        <v>50</v>
      </c>
      <c r="AA45" s="77">
        <f t="shared" si="21"/>
        <v>90</v>
      </c>
      <c r="AB45" s="77">
        <f>S45+AA45-AA45</f>
        <v>1715</v>
      </c>
    </row>
    <row r="46" spans="1:28" ht="39" customHeight="1">
      <c r="A46" s="59"/>
      <c r="B46" s="63" t="s">
        <v>375</v>
      </c>
      <c r="C46" s="77">
        <v>100</v>
      </c>
      <c r="D46" s="78"/>
      <c r="E46" s="78"/>
      <c r="F46" s="78"/>
      <c r="G46" s="78"/>
      <c r="H46" s="78"/>
      <c r="I46" s="78"/>
      <c r="J46" s="78"/>
      <c r="K46" s="77">
        <v>0</v>
      </c>
      <c r="L46" s="77">
        <f t="shared" si="2"/>
        <v>100</v>
      </c>
      <c r="S46" s="77">
        <f>200</f>
        <v>200</v>
      </c>
      <c r="T46" s="77"/>
      <c r="U46" s="73">
        <f>20</f>
        <v>20</v>
      </c>
      <c r="V46" s="73"/>
      <c r="W46" s="73"/>
      <c r="X46" s="73">
        <f>20</f>
        <v>20</v>
      </c>
      <c r="Y46" s="73"/>
      <c r="Z46" s="73">
        <f>50</f>
        <v>50</v>
      </c>
      <c r="AA46" s="77">
        <f t="shared" si="21"/>
        <v>90</v>
      </c>
      <c r="AB46" s="77">
        <f>S46+AA46</f>
        <v>290</v>
      </c>
    </row>
    <row r="47" spans="1:28" ht="16.5" hidden="1">
      <c r="A47" s="80"/>
      <c r="B47" s="81" t="s">
        <v>72</v>
      </c>
      <c r="C47" s="77">
        <f>0</f>
        <v>0</v>
      </c>
      <c r="D47" s="78"/>
      <c r="E47" s="78"/>
      <c r="F47" s="78"/>
      <c r="G47" s="78"/>
      <c r="H47" s="78"/>
      <c r="I47" s="78"/>
      <c r="J47" s="78"/>
      <c r="K47" s="77"/>
      <c r="L47" s="82"/>
      <c r="S47" s="82">
        <f>0</f>
        <v>0</v>
      </c>
      <c r="T47" s="82"/>
      <c r="U47" s="85"/>
      <c r="V47" s="85"/>
      <c r="W47" s="85"/>
      <c r="X47" s="85"/>
      <c r="Y47" s="85"/>
      <c r="Z47" s="85"/>
      <c r="AA47" s="77">
        <f t="shared" si="21"/>
        <v>0</v>
      </c>
      <c r="AB47" s="82"/>
    </row>
    <row r="48" spans="1:28" ht="24" customHeight="1">
      <c r="A48" s="59"/>
      <c r="B48" s="63" t="s">
        <v>100</v>
      </c>
      <c r="C48" s="77">
        <v>0</v>
      </c>
      <c r="D48" s="78"/>
      <c r="E48" s="78"/>
      <c r="F48" s="78"/>
      <c r="G48" s="78"/>
      <c r="H48" s="78"/>
      <c r="I48" s="78"/>
      <c r="J48" s="78"/>
      <c r="K48" s="77">
        <f>D48+E48+F48+G48+H48+I48+J48</f>
        <v>0</v>
      </c>
      <c r="L48" s="77">
        <f t="shared" si="2"/>
        <v>0</v>
      </c>
      <c r="S48" s="77">
        <f>1515</f>
        <v>1515</v>
      </c>
      <c r="T48" s="77"/>
      <c r="U48" s="73"/>
      <c r="V48" s="73"/>
      <c r="W48" s="73"/>
      <c r="X48" s="73"/>
      <c r="Y48" s="73"/>
      <c r="Z48" s="73"/>
      <c r="AA48" s="77">
        <f t="shared" si="21"/>
        <v>0</v>
      </c>
      <c r="AB48" s="77">
        <f>S48+AA48</f>
        <v>1515</v>
      </c>
    </row>
    <row r="49" spans="1:28" s="1" customFormat="1" ht="40.5" customHeight="1">
      <c r="A49" s="228" t="s">
        <v>107</v>
      </c>
      <c r="B49" s="229" t="s">
        <v>108</v>
      </c>
      <c r="C49" s="85">
        <f>C50+C53+C57</f>
        <v>2600</v>
      </c>
      <c r="D49" s="232">
        <f aca="true" t="shared" si="24" ref="D49:J49">D50+D53+D57</f>
        <v>21164.1</v>
      </c>
      <c r="E49" s="232">
        <f t="shared" si="24"/>
        <v>305</v>
      </c>
      <c r="F49" s="232">
        <f t="shared" si="24"/>
        <v>375</v>
      </c>
      <c r="G49" s="232">
        <f t="shared" si="24"/>
        <v>216</v>
      </c>
      <c r="H49" s="232">
        <f t="shared" si="24"/>
        <v>325</v>
      </c>
      <c r="I49" s="232">
        <f t="shared" si="24"/>
        <v>365</v>
      </c>
      <c r="J49" s="232">
        <f t="shared" si="24"/>
        <v>435</v>
      </c>
      <c r="K49" s="85">
        <f>K50+K53+K57</f>
        <v>33794.6</v>
      </c>
      <c r="L49" s="85">
        <f>C49+K49-K56</f>
        <v>33794.6</v>
      </c>
      <c r="M49" s="134"/>
      <c r="N49" s="134"/>
      <c r="O49" s="134"/>
      <c r="P49" s="134"/>
      <c r="Q49" s="134"/>
      <c r="R49" s="234"/>
      <c r="S49" s="85">
        <f>S50+S53+S57</f>
        <v>8900</v>
      </c>
      <c r="T49" s="85">
        <f aca="true" t="shared" si="25" ref="T49:Z49">T50+T53+T57</f>
        <v>36713.4</v>
      </c>
      <c r="U49" s="85">
        <f t="shared" si="25"/>
        <v>2495.5</v>
      </c>
      <c r="V49" s="85">
        <f t="shared" si="25"/>
        <v>1928.4</v>
      </c>
      <c r="W49" s="85">
        <f t="shared" si="25"/>
        <v>1642.9</v>
      </c>
      <c r="X49" s="85">
        <f t="shared" si="25"/>
        <v>2019.7</v>
      </c>
      <c r="Y49" s="85">
        <f t="shared" si="25"/>
        <v>950.4</v>
      </c>
      <c r="Z49" s="85">
        <f t="shared" si="25"/>
        <v>1600.5</v>
      </c>
      <c r="AA49" s="85">
        <f>AA50+AA53+AA57</f>
        <v>47350.8</v>
      </c>
      <c r="AB49" s="85">
        <f>S49+AA49-AA56</f>
        <v>49550.8</v>
      </c>
    </row>
    <row r="50" spans="1:28" ht="21" customHeight="1">
      <c r="A50" s="59" t="s">
        <v>109</v>
      </c>
      <c r="B50" s="63" t="s">
        <v>110</v>
      </c>
      <c r="C50" s="77">
        <f>C51+C52</f>
        <v>0</v>
      </c>
      <c r="D50" s="78">
        <f aca="true" t="shared" si="26" ref="D50:J50">D51+D52</f>
        <v>1850</v>
      </c>
      <c r="E50" s="78">
        <f t="shared" si="26"/>
        <v>0</v>
      </c>
      <c r="F50" s="78">
        <f t="shared" si="26"/>
        <v>0</v>
      </c>
      <c r="G50" s="78">
        <f t="shared" si="26"/>
        <v>0</v>
      </c>
      <c r="H50" s="78">
        <f t="shared" si="26"/>
        <v>0</v>
      </c>
      <c r="I50" s="78">
        <f t="shared" si="26"/>
        <v>0</v>
      </c>
      <c r="J50" s="78">
        <f t="shared" si="26"/>
        <v>0</v>
      </c>
      <c r="K50" s="77">
        <f>K51+K52</f>
        <v>2804.6</v>
      </c>
      <c r="L50" s="77">
        <f t="shared" si="2"/>
        <v>2804.6</v>
      </c>
      <c r="S50" s="77">
        <f>S51+S52</f>
        <v>1800</v>
      </c>
      <c r="T50" s="77">
        <f aca="true" t="shared" si="27" ref="T50:Z50">T51+T52</f>
        <v>3300</v>
      </c>
      <c r="U50" s="73">
        <f t="shared" si="27"/>
        <v>0</v>
      </c>
      <c r="V50" s="73">
        <f t="shared" si="27"/>
        <v>0</v>
      </c>
      <c r="W50" s="73">
        <f t="shared" si="27"/>
        <v>0</v>
      </c>
      <c r="X50" s="73">
        <f t="shared" si="27"/>
        <v>0</v>
      </c>
      <c r="Y50" s="73">
        <f t="shared" si="27"/>
        <v>0</v>
      </c>
      <c r="Z50" s="73">
        <f t="shared" si="27"/>
        <v>0</v>
      </c>
      <c r="AA50" s="77">
        <f>AA51+AA52</f>
        <v>3300</v>
      </c>
      <c r="AB50" s="77">
        <f>S50+AA50</f>
        <v>5100</v>
      </c>
    </row>
    <row r="51" spans="1:28" ht="33">
      <c r="A51" s="59"/>
      <c r="B51" s="63" t="s">
        <v>349</v>
      </c>
      <c r="C51" s="77">
        <v>0</v>
      </c>
      <c r="D51" s="78">
        <v>1850</v>
      </c>
      <c r="E51" s="78"/>
      <c r="F51" s="78"/>
      <c r="G51" s="78"/>
      <c r="H51" s="78"/>
      <c r="I51" s="78"/>
      <c r="J51" s="78"/>
      <c r="K51" s="77">
        <f>3000-195.4</f>
        <v>2804.6</v>
      </c>
      <c r="L51" s="77">
        <f t="shared" si="2"/>
        <v>2804.6</v>
      </c>
      <c r="S51" s="77">
        <f>1800</f>
        <v>1800</v>
      </c>
      <c r="T51" s="77">
        <f>3200</f>
        <v>3200</v>
      </c>
      <c r="U51" s="73"/>
      <c r="V51" s="73"/>
      <c r="W51" s="73"/>
      <c r="X51" s="73"/>
      <c r="Y51" s="73"/>
      <c r="Z51" s="73"/>
      <c r="AA51" s="77">
        <f>T51+U51+V51+W51+X51+Y51+Z51</f>
        <v>3200</v>
      </c>
      <c r="AB51" s="77">
        <f>S51+AA51</f>
        <v>5000</v>
      </c>
    </row>
    <row r="52" spans="1:28" ht="16.5">
      <c r="A52" s="59"/>
      <c r="B52" s="63" t="s">
        <v>100</v>
      </c>
      <c r="C52" s="77">
        <v>0</v>
      </c>
      <c r="D52" s="78"/>
      <c r="E52" s="78"/>
      <c r="F52" s="78"/>
      <c r="G52" s="78"/>
      <c r="H52" s="78"/>
      <c r="I52" s="78"/>
      <c r="J52" s="78"/>
      <c r="K52" s="77">
        <f>D52+E52+F52+G52+H52+I52+J52</f>
        <v>0</v>
      </c>
      <c r="L52" s="77">
        <f t="shared" si="2"/>
        <v>0</v>
      </c>
      <c r="S52" s="77">
        <v>0</v>
      </c>
      <c r="T52" s="77">
        <f>100</f>
        <v>100</v>
      </c>
      <c r="U52" s="73"/>
      <c r="V52" s="73"/>
      <c r="W52" s="73"/>
      <c r="X52" s="73"/>
      <c r="Y52" s="73"/>
      <c r="Z52" s="73"/>
      <c r="AA52" s="77">
        <f>T52+U52+V52+W52+X52+Y52+Z52</f>
        <v>100</v>
      </c>
      <c r="AB52" s="77">
        <f>S52+AA52</f>
        <v>100</v>
      </c>
    </row>
    <row r="53" spans="1:28" ht="23.25" customHeight="1">
      <c r="A53" s="59" t="s">
        <v>112</v>
      </c>
      <c r="B53" s="63" t="s">
        <v>113</v>
      </c>
      <c r="C53" s="77">
        <f>C54+C55+C56</f>
        <v>2600</v>
      </c>
      <c r="D53" s="78">
        <f aca="true" t="shared" si="28" ref="D53:J53">D54+D55+D56</f>
        <v>0</v>
      </c>
      <c r="E53" s="78">
        <f t="shared" si="28"/>
        <v>0</v>
      </c>
      <c r="F53" s="78">
        <f t="shared" si="28"/>
        <v>0</v>
      </c>
      <c r="G53" s="78">
        <f t="shared" si="28"/>
        <v>0</v>
      </c>
      <c r="H53" s="78">
        <f t="shared" si="28"/>
        <v>0</v>
      </c>
      <c r="I53" s="78">
        <f t="shared" si="28"/>
        <v>0</v>
      </c>
      <c r="J53" s="78">
        <f t="shared" si="28"/>
        <v>0</v>
      </c>
      <c r="K53" s="77">
        <f>K54+K55+K56</f>
        <v>5200</v>
      </c>
      <c r="L53" s="77">
        <f>C53+K53-K56</f>
        <v>5200</v>
      </c>
      <c r="S53" s="77">
        <f>S54+S55+S56</f>
        <v>7100</v>
      </c>
      <c r="T53" s="77">
        <f aca="true" t="shared" si="29" ref="T53:Z53">T54+T55+T56</f>
        <v>6000</v>
      </c>
      <c r="U53" s="73">
        <f t="shared" si="29"/>
        <v>1600</v>
      </c>
      <c r="V53" s="73">
        <f t="shared" si="29"/>
        <v>1200</v>
      </c>
      <c r="W53" s="73">
        <f t="shared" si="29"/>
        <v>1200</v>
      </c>
      <c r="X53" s="73">
        <f t="shared" si="29"/>
        <v>1300</v>
      </c>
      <c r="Y53" s="73">
        <f t="shared" si="29"/>
        <v>400</v>
      </c>
      <c r="Z53" s="73">
        <f t="shared" si="29"/>
        <v>1000</v>
      </c>
      <c r="AA53" s="77">
        <f>AA54+AA55+AA56</f>
        <v>12700</v>
      </c>
      <c r="AB53" s="77">
        <f>S53+AA53-AA56</f>
        <v>13100</v>
      </c>
    </row>
    <row r="54" spans="1:28" ht="16.5" hidden="1">
      <c r="A54" s="59"/>
      <c r="B54" s="63" t="s">
        <v>114</v>
      </c>
      <c r="C54" s="77">
        <f>0</f>
        <v>0</v>
      </c>
      <c r="D54" s="78"/>
      <c r="E54" s="78"/>
      <c r="F54" s="78"/>
      <c r="G54" s="78"/>
      <c r="H54" s="78"/>
      <c r="I54" s="78"/>
      <c r="J54" s="78"/>
      <c r="K54" s="77">
        <f>D54+E54+F54+G54+H54+I54+J54</f>
        <v>0</v>
      </c>
      <c r="L54" s="77">
        <f t="shared" si="2"/>
        <v>0</v>
      </c>
      <c r="S54" s="77">
        <f>0</f>
        <v>0</v>
      </c>
      <c r="T54" s="77"/>
      <c r="U54" s="73"/>
      <c r="V54" s="73"/>
      <c r="W54" s="73"/>
      <c r="X54" s="73"/>
      <c r="Y54" s="73"/>
      <c r="Z54" s="73"/>
      <c r="AA54" s="77">
        <f>T54+U54+V54+W54+X54+Y54+Z54</f>
        <v>0</v>
      </c>
      <c r="AB54" s="77">
        <f>S54+AA54</f>
        <v>0</v>
      </c>
    </row>
    <row r="55" spans="1:28" ht="27" customHeight="1">
      <c r="A55" s="59"/>
      <c r="B55" s="63" t="s">
        <v>100</v>
      </c>
      <c r="C55" s="77">
        <v>2600</v>
      </c>
      <c r="D55" s="78"/>
      <c r="E55" s="78"/>
      <c r="F55" s="78"/>
      <c r="G55" s="78"/>
      <c r="H55" s="78"/>
      <c r="I55" s="78"/>
      <c r="J55" s="78"/>
      <c r="K55" s="77">
        <v>2600</v>
      </c>
      <c r="L55" s="77">
        <f t="shared" si="2"/>
        <v>5200</v>
      </c>
      <c r="S55" s="77">
        <f>400</f>
        <v>400</v>
      </c>
      <c r="T55" s="77">
        <f>6000</f>
        <v>6000</v>
      </c>
      <c r="U55" s="73"/>
      <c r="V55" s="73"/>
      <c r="W55" s="73"/>
      <c r="X55" s="73"/>
      <c r="Y55" s="73"/>
      <c r="Z55" s="73"/>
      <c r="AA55" s="77">
        <f>T55+U55+V55+W55+X55+Y55+Z55</f>
        <v>6000</v>
      </c>
      <c r="AB55" s="77">
        <f>S55+AA55</f>
        <v>6400</v>
      </c>
    </row>
    <row r="56" spans="1:28" ht="33">
      <c r="A56" s="80"/>
      <c r="B56" s="81" t="s">
        <v>263</v>
      </c>
      <c r="C56" s="82">
        <v>0</v>
      </c>
      <c r="D56" s="83"/>
      <c r="E56" s="83"/>
      <c r="F56" s="83"/>
      <c r="G56" s="83"/>
      <c r="H56" s="83"/>
      <c r="I56" s="83"/>
      <c r="J56" s="83"/>
      <c r="K56" s="82">
        <v>2600</v>
      </c>
      <c r="L56" s="82"/>
      <c r="S56" s="82">
        <f>6700</f>
        <v>6700</v>
      </c>
      <c r="T56" s="85">
        <v>0</v>
      </c>
      <c r="U56" s="85">
        <f>1600</f>
        <v>1600</v>
      </c>
      <c r="V56" s="85">
        <f>1200</f>
        <v>1200</v>
      </c>
      <c r="W56" s="85">
        <f>1200</f>
        <v>1200</v>
      </c>
      <c r="X56" s="85">
        <f>1300</f>
        <v>1300</v>
      </c>
      <c r="Y56" s="85">
        <f>400</f>
        <v>400</v>
      </c>
      <c r="Z56" s="85">
        <f>1000</f>
        <v>1000</v>
      </c>
      <c r="AA56" s="85">
        <f>SUM(T56:Z56)</f>
        <v>6700</v>
      </c>
      <c r="AB56" s="82"/>
    </row>
    <row r="57" spans="1:28" ht="18.75" customHeight="1">
      <c r="A57" s="59" t="s">
        <v>117</v>
      </c>
      <c r="B57" s="63" t="s">
        <v>264</v>
      </c>
      <c r="C57" s="77">
        <v>0</v>
      </c>
      <c r="D57" s="78">
        <f aca="true" t="shared" si="30" ref="D57:J57">D58+D59+D60+D61+D62+D63</f>
        <v>19314.1</v>
      </c>
      <c r="E57" s="78">
        <f t="shared" si="30"/>
        <v>305</v>
      </c>
      <c r="F57" s="78">
        <f t="shared" si="30"/>
        <v>375</v>
      </c>
      <c r="G57" s="78">
        <f t="shared" si="30"/>
        <v>216</v>
      </c>
      <c r="H57" s="78">
        <f t="shared" si="30"/>
        <v>325</v>
      </c>
      <c r="I57" s="78">
        <f t="shared" si="30"/>
        <v>365</v>
      </c>
      <c r="J57" s="78">
        <f t="shared" si="30"/>
        <v>435</v>
      </c>
      <c r="K57" s="77">
        <f>K58+K59+K60+K61+K62+K63</f>
        <v>25790</v>
      </c>
      <c r="L57" s="77">
        <f>C57+K57-K62</f>
        <v>25790</v>
      </c>
      <c r="S57" s="77">
        <v>0</v>
      </c>
      <c r="T57" s="77">
        <f aca="true" t="shared" si="31" ref="T57:Z57">T58+T59+T60+T61+T62+T63</f>
        <v>27413.4</v>
      </c>
      <c r="U57" s="73">
        <f t="shared" si="31"/>
        <v>895.5</v>
      </c>
      <c r="V57" s="73">
        <f t="shared" si="31"/>
        <v>728.4</v>
      </c>
      <c r="W57" s="73">
        <f t="shared" si="31"/>
        <v>442.9</v>
      </c>
      <c r="X57" s="73">
        <f t="shared" si="31"/>
        <v>719.7</v>
      </c>
      <c r="Y57" s="73">
        <f t="shared" si="31"/>
        <v>550.4</v>
      </c>
      <c r="Z57" s="73">
        <f t="shared" si="31"/>
        <v>600.5</v>
      </c>
      <c r="AA57" s="77">
        <f>AA58+AA59+AA60+AA61+AA62+AA63</f>
        <v>31350.800000000007</v>
      </c>
      <c r="AB57" s="77">
        <f>S57+AA57-AA62</f>
        <v>31350.800000000007</v>
      </c>
    </row>
    <row r="58" spans="1:28" ht="16.5">
      <c r="A58" s="59"/>
      <c r="B58" s="63" t="s">
        <v>265</v>
      </c>
      <c r="C58" s="77">
        <v>0</v>
      </c>
      <c r="D58" s="78">
        <v>8014.1</v>
      </c>
      <c r="E58" s="78">
        <v>180</v>
      </c>
      <c r="F58" s="78">
        <v>250</v>
      </c>
      <c r="G58" s="78">
        <v>96</v>
      </c>
      <c r="H58" s="78">
        <v>200</v>
      </c>
      <c r="I58" s="78">
        <v>240</v>
      </c>
      <c r="J58" s="78">
        <v>310</v>
      </c>
      <c r="K58" s="77">
        <v>11675</v>
      </c>
      <c r="L58" s="77">
        <f t="shared" si="2"/>
        <v>11675</v>
      </c>
      <c r="S58" s="77">
        <v>0</v>
      </c>
      <c r="T58" s="77"/>
      <c r="U58" s="73"/>
      <c r="V58" s="73"/>
      <c r="W58" s="73"/>
      <c r="X58" s="73"/>
      <c r="Y58" s="73"/>
      <c r="Z58" s="73"/>
      <c r="AA58" s="77">
        <f>T58+U58+V58+W58+X58+Y58+Z58</f>
        <v>0</v>
      </c>
      <c r="AB58" s="77">
        <f>S58+AA58</f>
        <v>0</v>
      </c>
    </row>
    <row r="59" spans="1:28" ht="16.5">
      <c r="A59" s="59"/>
      <c r="B59" s="63" t="s">
        <v>120</v>
      </c>
      <c r="C59" s="77">
        <f>0</f>
        <v>0</v>
      </c>
      <c r="D59" s="78">
        <v>200</v>
      </c>
      <c r="E59" s="78">
        <v>25</v>
      </c>
      <c r="F59" s="78">
        <v>25</v>
      </c>
      <c r="G59" s="78">
        <v>20</v>
      </c>
      <c r="H59" s="78">
        <v>25</v>
      </c>
      <c r="I59" s="78">
        <v>25</v>
      </c>
      <c r="J59" s="78">
        <v>25</v>
      </c>
      <c r="K59" s="77">
        <v>65</v>
      </c>
      <c r="L59" s="77">
        <f t="shared" si="2"/>
        <v>65</v>
      </c>
      <c r="S59" s="77">
        <f>0</f>
        <v>0</v>
      </c>
      <c r="T59" s="77"/>
      <c r="U59" s="73"/>
      <c r="V59" s="73"/>
      <c r="W59" s="73"/>
      <c r="X59" s="73"/>
      <c r="Y59" s="73"/>
      <c r="Z59" s="73"/>
      <c r="AA59" s="77">
        <f aca="true" t="shared" si="32" ref="AA59:AA68">T59+U59+V59+W59+X59+Y59+Z59</f>
        <v>0</v>
      </c>
      <c r="AB59" s="77">
        <f>S59+AA59</f>
        <v>0</v>
      </c>
    </row>
    <row r="60" spans="1:28" ht="16.5">
      <c r="A60" s="59"/>
      <c r="B60" s="63" t="s">
        <v>121</v>
      </c>
      <c r="C60" s="77">
        <f>0</f>
        <v>0</v>
      </c>
      <c r="D60" s="78">
        <v>50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7">
        <v>60</v>
      </c>
      <c r="L60" s="77">
        <f t="shared" si="2"/>
        <v>60</v>
      </c>
      <c r="S60" s="77">
        <f>0</f>
        <v>0</v>
      </c>
      <c r="T60" s="77"/>
      <c r="U60" s="73"/>
      <c r="V60" s="73"/>
      <c r="W60" s="73"/>
      <c r="X60" s="73"/>
      <c r="Y60" s="73"/>
      <c r="Z60" s="73"/>
      <c r="AA60" s="77">
        <f t="shared" si="32"/>
        <v>0</v>
      </c>
      <c r="AB60" s="77">
        <f>S60+AA60</f>
        <v>0</v>
      </c>
    </row>
    <row r="61" spans="1:28" ht="16.5">
      <c r="A61" s="59"/>
      <c r="B61" s="63" t="s">
        <v>122</v>
      </c>
      <c r="C61" s="77">
        <f>0</f>
        <v>0</v>
      </c>
      <c r="D61" s="78">
        <v>11050</v>
      </c>
      <c r="E61" s="78">
        <v>100</v>
      </c>
      <c r="F61" s="78">
        <v>100</v>
      </c>
      <c r="G61" s="78">
        <v>100</v>
      </c>
      <c r="H61" s="78">
        <v>100</v>
      </c>
      <c r="I61" s="78">
        <v>100</v>
      </c>
      <c r="J61" s="78">
        <v>100</v>
      </c>
      <c r="K61" s="77">
        <v>12155</v>
      </c>
      <c r="L61" s="77">
        <f t="shared" si="2"/>
        <v>12155</v>
      </c>
      <c r="S61" s="77">
        <f>0</f>
        <v>0</v>
      </c>
      <c r="T61" s="77"/>
      <c r="U61" s="73"/>
      <c r="V61" s="73"/>
      <c r="W61" s="73"/>
      <c r="X61" s="73"/>
      <c r="Y61" s="73"/>
      <c r="Z61" s="73"/>
      <c r="AA61" s="77">
        <f t="shared" si="32"/>
        <v>0</v>
      </c>
      <c r="AB61" s="77">
        <f>S61+AA61</f>
        <v>0</v>
      </c>
    </row>
    <row r="62" spans="1:28" ht="33">
      <c r="A62" s="59"/>
      <c r="B62" s="81" t="s">
        <v>266</v>
      </c>
      <c r="C62" s="77"/>
      <c r="D62" s="78">
        <v>0</v>
      </c>
      <c r="E62" s="78"/>
      <c r="F62" s="78"/>
      <c r="G62" s="78"/>
      <c r="H62" s="78"/>
      <c r="I62" s="78"/>
      <c r="J62" s="78"/>
      <c r="K62" s="77">
        <v>0</v>
      </c>
      <c r="L62" s="82">
        <v>0</v>
      </c>
      <c r="S62" s="77"/>
      <c r="T62" s="82">
        <v>0</v>
      </c>
      <c r="U62" s="85"/>
      <c r="V62" s="85"/>
      <c r="W62" s="85"/>
      <c r="X62" s="85"/>
      <c r="Y62" s="85"/>
      <c r="Z62" s="85"/>
      <c r="AA62" s="77">
        <f>T62+U62+V62+W62+X62+Y62+Z62</f>
        <v>0</v>
      </c>
      <c r="AB62" s="82">
        <v>0</v>
      </c>
    </row>
    <row r="63" spans="1:28" ht="49.5">
      <c r="A63" s="59"/>
      <c r="B63" s="63" t="s">
        <v>384</v>
      </c>
      <c r="C63" s="77"/>
      <c r="D63" s="78"/>
      <c r="E63" s="78"/>
      <c r="F63" s="78"/>
      <c r="G63" s="78"/>
      <c r="H63" s="78"/>
      <c r="I63" s="78"/>
      <c r="J63" s="78"/>
      <c r="K63" s="77">
        <v>1835</v>
      </c>
      <c r="L63" s="77">
        <f t="shared" si="2"/>
        <v>1835</v>
      </c>
      <c r="S63" s="77"/>
      <c r="T63" s="243">
        <f aca="true" t="shared" si="33" ref="T63:Z63">T64+T65+T66</f>
        <v>27413.4</v>
      </c>
      <c r="U63" s="243">
        <f t="shared" si="33"/>
        <v>895.5</v>
      </c>
      <c r="V63" s="243">
        <f t="shared" si="33"/>
        <v>728.4</v>
      </c>
      <c r="W63" s="243">
        <f t="shared" si="33"/>
        <v>442.9</v>
      </c>
      <c r="X63" s="243">
        <f t="shared" si="33"/>
        <v>719.7</v>
      </c>
      <c r="Y63" s="243">
        <f t="shared" si="33"/>
        <v>550.4</v>
      </c>
      <c r="Z63" s="243">
        <f t="shared" si="33"/>
        <v>600.5</v>
      </c>
      <c r="AA63" s="77">
        <f t="shared" si="32"/>
        <v>31350.800000000007</v>
      </c>
      <c r="AB63" s="77">
        <f>S63+AA63</f>
        <v>31350.800000000007</v>
      </c>
    </row>
    <row r="64" spans="1:28" ht="33">
      <c r="A64" s="59"/>
      <c r="B64" s="63" t="s">
        <v>385</v>
      </c>
      <c r="C64" s="77"/>
      <c r="D64" s="78"/>
      <c r="E64" s="78"/>
      <c r="F64" s="78"/>
      <c r="G64" s="78"/>
      <c r="H64" s="78"/>
      <c r="I64" s="78"/>
      <c r="J64" s="78"/>
      <c r="K64" s="77"/>
      <c r="L64" s="77"/>
      <c r="S64" s="77"/>
      <c r="T64" s="239">
        <f>4200+4600</f>
        <v>8800</v>
      </c>
      <c r="U64" s="243">
        <f>370</f>
        <v>370</v>
      </c>
      <c r="V64" s="243">
        <f>400</f>
        <v>400</v>
      </c>
      <c r="W64" s="243">
        <f>156</f>
        <v>156</v>
      </c>
      <c r="X64" s="243">
        <f>410</f>
        <v>410</v>
      </c>
      <c r="Y64" s="243">
        <f>350</f>
        <v>350</v>
      </c>
      <c r="Z64" s="243">
        <f>410</f>
        <v>410</v>
      </c>
      <c r="AA64" s="77"/>
      <c r="AB64" s="77"/>
    </row>
    <row r="65" spans="1:28" ht="20.25" customHeight="1">
      <c r="A65" s="59"/>
      <c r="B65" s="63" t="s">
        <v>386</v>
      </c>
      <c r="C65" s="77"/>
      <c r="D65" s="78"/>
      <c r="E65" s="78"/>
      <c r="F65" s="78"/>
      <c r="G65" s="78"/>
      <c r="H65" s="78"/>
      <c r="I65" s="78"/>
      <c r="J65" s="78"/>
      <c r="K65" s="77"/>
      <c r="L65" s="77"/>
      <c r="S65" s="77"/>
      <c r="T65" s="239">
        <f>100</f>
        <v>100</v>
      </c>
      <c r="U65" s="243">
        <f>20</f>
        <v>20</v>
      </c>
      <c r="V65" s="243">
        <f>30</f>
        <v>30</v>
      </c>
      <c r="W65" s="243">
        <f>20</f>
        <v>20</v>
      </c>
      <c r="X65" s="243">
        <f>20</f>
        <v>20</v>
      </c>
      <c r="Y65" s="243">
        <f>5</f>
        <v>5</v>
      </c>
      <c r="Z65" s="243">
        <f>30</f>
        <v>30</v>
      </c>
      <c r="AA65" s="77"/>
      <c r="AB65" s="77"/>
    </row>
    <row r="66" spans="1:28" ht="21" customHeight="1">
      <c r="A66" s="59"/>
      <c r="B66" s="63" t="s">
        <v>122</v>
      </c>
      <c r="C66" s="77"/>
      <c r="D66" s="78"/>
      <c r="E66" s="78"/>
      <c r="F66" s="78"/>
      <c r="G66" s="78"/>
      <c r="H66" s="78"/>
      <c r="I66" s="78"/>
      <c r="J66" s="78"/>
      <c r="K66" s="77"/>
      <c r="L66" s="77"/>
      <c r="S66" s="77"/>
      <c r="T66" s="239">
        <f>18513.4</f>
        <v>18513.4</v>
      </c>
      <c r="U66" s="243">
        <f>505.5</f>
        <v>505.5</v>
      </c>
      <c r="V66" s="243">
        <f>298.4</f>
        <v>298.4</v>
      </c>
      <c r="W66" s="243">
        <f>266.9</f>
        <v>266.9</v>
      </c>
      <c r="X66" s="243">
        <f>289.7</f>
        <v>289.7</v>
      </c>
      <c r="Y66" s="243">
        <f>195.4</f>
        <v>195.4</v>
      </c>
      <c r="Z66" s="243">
        <f>160.5</f>
        <v>160.5</v>
      </c>
      <c r="AA66" s="77"/>
      <c r="AB66" s="77"/>
    </row>
    <row r="67" spans="1:28" s="1" customFormat="1" ht="16.5">
      <c r="A67" s="228" t="s">
        <v>125</v>
      </c>
      <c r="B67" s="229" t="s">
        <v>126</v>
      </c>
      <c r="C67" s="85">
        <f>C68</f>
        <v>0</v>
      </c>
      <c r="D67" s="232">
        <f aca="true" t="shared" si="34" ref="D67:J67">D68</f>
        <v>0</v>
      </c>
      <c r="E67" s="232">
        <f t="shared" si="34"/>
        <v>2.2</v>
      </c>
      <c r="F67" s="232">
        <f t="shared" si="34"/>
        <v>1</v>
      </c>
      <c r="G67" s="232">
        <f t="shared" si="34"/>
        <v>1</v>
      </c>
      <c r="H67" s="232">
        <f t="shared" si="34"/>
        <v>1</v>
      </c>
      <c r="I67" s="232">
        <f t="shared" si="34"/>
        <v>1</v>
      </c>
      <c r="J67" s="232">
        <f t="shared" si="34"/>
        <v>1</v>
      </c>
      <c r="K67" s="85">
        <f>K68</f>
        <v>0</v>
      </c>
      <c r="L67" s="85">
        <f t="shared" si="2"/>
        <v>0</v>
      </c>
      <c r="M67" s="134"/>
      <c r="N67" s="134"/>
      <c r="O67" s="134"/>
      <c r="P67" s="134"/>
      <c r="Q67" s="134"/>
      <c r="R67" s="233"/>
      <c r="S67" s="85">
        <f>S68</f>
        <v>0</v>
      </c>
      <c r="T67" s="85">
        <f aca="true" t="shared" si="35" ref="T67:Z67">T68</f>
        <v>0</v>
      </c>
      <c r="U67" s="85">
        <f t="shared" si="35"/>
        <v>3.8</v>
      </c>
      <c r="V67" s="85">
        <f t="shared" si="35"/>
        <v>1.5</v>
      </c>
      <c r="W67" s="85">
        <f t="shared" si="35"/>
        <v>3.1</v>
      </c>
      <c r="X67" s="85">
        <f t="shared" si="35"/>
        <v>6.4</v>
      </c>
      <c r="Y67" s="85">
        <f t="shared" si="35"/>
        <v>1.6</v>
      </c>
      <c r="Z67" s="85">
        <f t="shared" si="35"/>
        <v>3.2</v>
      </c>
      <c r="AA67" s="85">
        <f>AA68</f>
        <v>19.6</v>
      </c>
      <c r="AB67" s="85">
        <f>S67+AA67</f>
        <v>19.6</v>
      </c>
    </row>
    <row r="68" spans="1:28" ht="33">
      <c r="A68" s="59" t="s">
        <v>127</v>
      </c>
      <c r="B68" s="63" t="s">
        <v>128</v>
      </c>
      <c r="C68" s="77">
        <f>0</f>
        <v>0</v>
      </c>
      <c r="D68" s="78"/>
      <c r="E68" s="78">
        <v>2.2</v>
      </c>
      <c r="F68" s="78">
        <v>1</v>
      </c>
      <c r="G68" s="78">
        <v>1</v>
      </c>
      <c r="H68" s="78">
        <v>1</v>
      </c>
      <c r="I68" s="78">
        <v>1</v>
      </c>
      <c r="J68" s="78">
        <v>1</v>
      </c>
      <c r="K68" s="77">
        <v>0</v>
      </c>
      <c r="L68" s="77">
        <f t="shared" si="2"/>
        <v>0</v>
      </c>
      <c r="S68" s="77">
        <f>0</f>
        <v>0</v>
      </c>
      <c r="T68" s="77">
        <f>0</f>
        <v>0</v>
      </c>
      <c r="U68" s="73">
        <f>3.8</f>
        <v>3.8</v>
      </c>
      <c r="V68" s="73">
        <f>1.5</f>
        <v>1.5</v>
      </c>
      <c r="W68" s="73">
        <f>3.1</f>
        <v>3.1</v>
      </c>
      <c r="X68" s="73">
        <f>6.4</f>
        <v>6.4</v>
      </c>
      <c r="Y68" s="73">
        <f>1.6</f>
        <v>1.6</v>
      </c>
      <c r="Z68" s="73">
        <f>3.2</f>
        <v>3.2</v>
      </c>
      <c r="AA68" s="77">
        <f t="shared" si="32"/>
        <v>19.6</v>
      </c>
      <c r="AB68" s="77">
        <f>S68+AA68</f>
        <v>19.6</v>
      </c>
    </row>
    <row r="69" spans="1:28" s="1" customFormat="1" ht="16.5">
      <c r="A69" s="228" t="s">
        <v>129</v>
      </c>
      <c r="B69" s="229" t="s">
        <v>268</v>
      </c>
      <c r="C69" s="85">
        <f>C70+C71+C79+C83+C89</f>
        <v>447747.49999999994</v>
      </c>
      <c r="D69" s="232">
        <f aca="true" t="shared" si="36" ref="D69:J69">D70+D71+D79+D83+D89</f>
        <v>3730.1</v>
      </c>
      <c r="E69" s="232">
        <f t="shared" si="36"/>
        <v>3</v>
      </c>
      <c r="F69" s="232">
        <f t="shared" si="36"/>
        <v>3</v>
      </c>
      <c r="G69" s="232">
        <f t="shared" si="36"/>
        <v>3</v>
      </c>
      <c r="H69" s="232">
        <f t="shared" si="36"/>
        <v>3</v>
      </c>
      <c r="I69" s="232">
        <f t="shared" si="36"/>
        <v>3</v>
      </c>
      <c r="J69" s="232">
        <f t="shared" si="36"/>
        <v>3</v>
      </c>
      <c r="K69" s="85">
        <f>K70+K71+K79+K83+K89</f>
        <v>3748.3</v>
      </c>
      <c r="L69" s="85">
        <f>C69+K69-K78-K87</f>
        <v>451495.79999999993</v>
      </c>
      <c r="M69" s="134"/>
      <c r="N69" s="134"/>
      <c r="O69" s="134"/>
      <c r="P69" s="134"/>
      <c r="Q69" s="134"/>
      <c r="R69" s="233"/>
      <c r="S69" s="85">
        <f>S70+S71+S74+S79+S83+S89</f>
        <v>468051.9</v>
      </c>
      <c r="T69" s="85">
        <f aca="true" t="shared" si="37" ref="T69:AB69">T70+T71+T74+T79+T83+T89</f>
        <v>0</v>
      </c>
      <c r="U69" s="85">
        <f t="shared" si="37"/>
        <v>0</v>
      </c>
      <c r="V69" s="85">
        <f t="shared" si="37"/>
        <v>0</v>
      </c>
      <c r="W69" s="85">
        <f t="shared" si="37"/>
        <v>0</v>
      </c>
      <c r="X69" s="85">
        <f t="shared" si="37"/>
        <v>0</v>
      </c>
      <c r="Y69" s="85">
        <f t="shared" si="37"/>
        <v>0</v>
      </c>
      <c r="Z69" s="85">
        <f t="shared" si="37"/>
        <v>0</v>
      </c>
      <c r="AA69" s="85">
        <f t="shared" si="37"/>
        <v>0</v>
      </c>
      <c r="AB69" s="85">
        <f t="shared" si="37"/>
        <v>455031.6</v>
      </c>
    </row>
    <row r="70" spans="1:28" ht="33">
      <c r="A70" s="59" t="s">
        <v>134</v>
      </c>
      <c r="B70" s="91" t="s">
        <v>269</v>
      </c>
      <c r="C70" s="77">
        <v>125615</v>
      </c>
      <c r="D70" s="78"/>
      <c r="E70" s="78"/>
      <c r="F70" s="78"/>
      <c r="G70" s="78"/>
      <c r="H70" s="78"/>
      <c r="I70" s="78"/>
      <c r="J70" s="78"/>
      <c r="K70" s="77">
        <f>D70+E70+F70+G70+H70+I70+J70</f>
        <v>0</v>
      </c>
      <c r="L70" s="77">
        <f t="shared" si="2"/>
        <v>125615</v>
      </c>
      <c r="M70" s="3">
        <f>200+165</f>
        <v>365</v>
      </c>
      <c r="N70" s="3" t="s">
        <v>270</v>
      </c>
      <c r="O70" s="3">
        <v>931.3</v>
      </c>
      <c r="P70" s="3" t="s">
        <v>271</v>
      </c>
      <c r="S70" s="77">
        <f>140839.7</f>
        <v>140839.7</v>
      </c>
      <c r="T70" s="77"/>
      <c r="U70" s="73"/>
      <c r="V70" s="73"/>
      <c r="W70" s="73"/>
      <c r="X70" s="73"/>
      <c r="Y70" s="73"/>
      <c r="Z70" s="73"/>
      <c r="AA70" s="77">
        <f aca="true" t="shared" si="38" ref="AA70:AA77">T70+U70+V70+W70+X70+Y70+Z70</f>
        <v>0</v>
      </c>
      <c r="AB70" s="77">
        <f>S70+AA70</f>
        <v>140839.7</v>
      </c>
    </row>
    <row r="71" spans="1:28" ht="16.5">
      <c r="A71" s="59" t="s">
        <v>135</v>
      </c>
      <c r="B71" s="63" t="s">
        <v>352</v>
      </c>
      <c r="C71" s="77">
        <f>C73+C76+C77+C78</f>
        <v>297623.1</v>
      </c>
      <c r="D71" s="78">
        <f aca="true" t="shared" si="39" ref="D71:J71">D73+D76+D77+D78</f>
        <v>3730.1</v>
      </c>
      <c r="E71" s="78">
        <f t="shared" si="39"/>
        <v>0</v>
      </c>
      <c r="F71" s="78">
        <f t="shared" si="39"/>
        <v>0</v>
      </c>
      <c r="G71" s="78">
        <f t="shared" si="39"/>
        <v>0</v>
      </c>
      <c r="H71" s="78">
        <f t="shared" si="39"/>
        <v>0</v>
      </c>
      <c r="I71" s="78">
        <f t="shared" si="39"/>
        <v>0</v>
      </c>
      <c r="J71" s="78">
        <f t="shared" si="39"/>
        <v>0</v>
      </c>
      <c r="K71" s="77">
        <f>K73+K76+K77+K78</f>
        <v>3748.3</v>
      </c>
      <c r="L71" s="77">
        <f>C71+K71-K78</f>
        <v>301371.39999999997</v>
      </c>
      <c r="S71" s="78">
        <f>S73</f>
        <v>270594.3</v>
      </c>
      <c r="T71" s="77">
        <f aca="true" t="shared" si="40" ref="T71:AB71">T73</f>
        <v>0</v>
      </c>
      <c r="U71" s="77">
        <f t="shared" si="40"/>
        <v>0</v>
      </c>
      <c r="V71" s="77">
        <f t="shared" si="40"/>
        <v>0</v>
      </c>
      <c r="W71" s="77">
        <f t="shared" si="40"/>
        <v>0</v>
      </c>
      <c r="X71" s="77">
        <f t="shared" si="40"/>
        <v>0</v>
      </c>
      <c r="Y71" s="77">
        <f t="shared" si="40"/>
        <v>0</v>
      </c>
      <c r="Z71" s="77">
        <f t="shared" si="40"/>
        <v>0</v>
      </c>
      <c r="AA71" s="78">
        <f t="shared" si="40"/>
        <v>0</v>
      </c>
      <c r="AB71" s="78">
        <f t="shared" si="40"/>
        <v>270594.3</v>
      </c>
    </row>
    <row r="72" spans="1:28" ht="16.5" hidden="1">
      <c r="A72" s="59"/>
      <c r="B72" s="63" t="s">
        <v>136</v>
      </c>
      <c r="C72" s="77"/>
      <c r="D72" s="78"/>
      <c r="E72" s="78"/>
      <c r="F72" s="78"/>
      <c r="G72" s="78"/>
      <c r="H72" s="78"/>
      <c r="I72" s="78"/>
      <c r="J72" s="78"/>
      <c r="K72" s="77"/>
      <c r="L72" s="77">
        <f t="shared" si="2"/>
        <v>0</v>
      </c>
      <c r="S72" s="77"/>
      <c r="T72" s="77"/>
      <c r="U72" s="73"/>
      <c r="V72" s="73"/>
      <c r="W72" s="73"/>
      <c r="X72" s="73"/>
      <c r="Y72" s="73"/>
      <c r="Z72" s="73"/>
      <c r="AA72" s="77">
        <f t="shared" si="38"/>
        <v>0</v>
      </c>
      <c r="AB72" s="77">
        <f>S72+AA72</f>
        <v>0</v>
      </c>
    </row>
    <row r="73" spans="1:28" ht="33">
      <c r="A73" s="59"/>
      <c r="B73" s="63" t="s">
        <v>272</v>
      </c>
      <c r="C73" s="77">
        <v>288151.1</v>
      </c>
      <c r="D73" s="78"/>
      <c r="E73" s="78"/>
      <c r="F73" s="78"/>
      <c r="G73" s="78"/>
      <c r="H73" s="78"/>
      <c r="I73" s="78"/>
      <c r="J73" s="78"/>
      <c r="K73" s="77">
        <f>D73+E73+F73+G73+H73+I73+J73</f>
        <v>0</v>
      </c>
      <c r="L73" s="77">
        <f t="shared" si="2"/>
        <v>288151.1</v>
      </c>
      <c r="M73" s="3">
        <f>480+1050</f>
        <v>1530</v>
      </c>
      <c r="N73" s="3" t="s">
        <v>270</v>
      </c>
      <c r="O73" s="3">
        <v>370</v>
      </c>
      <c r="P73" s="3" t="s">
        <v>271</v>
      </c>
      <c r="S73" s="77">
        <f>270594.3</f>
        <v>270594.3</v>
      </c>
      <c r="T73" s="77"/>
      <c r="U73" s="73"/>
      <c r="V73" s="73"/>
      <c r="W73" s="73"/>
      <c r="X73" s="73"/>
      <c r="Y73" s="73"/>
      <c r="Z73" s="73"/>
      <c r="AA73" s="77">
        <f t="shared" si="38"/>
        <v>0</v>
      </c>
      <c r="AB73" s="77">
        <f>S73+AA73</f>
        <v>270594.3</v>
      </c>
    </row>
    <row r="74" spans="1:28" ht="33">
      <c r="A74" s="59" t="s">
        <v>320</v>
      </c>
      <c r="B74" s="63" t="s">
        <v>354</v>
      </c>
      <c r="C74" s="77"/>
      <c r="D74" s="78"/>
      <c r="E74" s="78"/>
      <c r="F74" s="78"/>
      <c r="G74" s="78"/>
      <c r="H74" s="78"/>
      <c r="I74" s="78"/>
      <c r="J74" s="78"/>
      <c r="K74" s="77"/>
      <c r="L74" s="77"/>
      <c r="S74" s="77">
        <f>S75+S76+S77</f>
        <v>30074.9</v>
      </c>
      <c r="T74" s="77">
        <f aca="true" t="shared" si="41" ref="T74:AB74">T75+T76+T77</f>
        <v>0</v>
      </c>
      <c r="U74" s="77">
        <f t="shared" si="41"/>
        <v>0</v>
      </c>
      <c r="V74" s="77">
        <f t="shared" si="41"/>
        <v>0</v>
      </c>
      <c r="W74" s="77">
        <f t="shared" si="41"/>
        <v>0</v>
      </c>
      <c r="X74" s="77">
        <f t="shared" si="41"/>
        <v>0</v>
      </c>
      <c r="Y74" s="77">
        <f t="shared" si="41"/>
        <v>0</v>
      </c>
      <c r="Z74" s="77">
        <f t="shared" si="41"/>
        <v>0</v>
      </c>
      <c r="AA74" s="77">
        <f t="shared" si="41"/>
        <v>0</v>
      </c>
      <c r="AB74" s="77">
        <f t="shared" si="41"/>
        <v>17054.6</v>
      </c>
    </row>
    <row r="75" spans="1:28" ht="26.25" customHeight="1">
      <c r="A75" s="59"/>
      <c r="B75" s="63" t="s">
        <v>141</v>
      </c>
      <c r="C75" s="77"/>
      <c r="D75" s="78"/>
      <c r="E75" s="78"/>
      <c r="F75" s="78"/>
      <c r="G75" s="78"/>
      <c r="H75" s="78"/>
      <c r="I75" s="78"/>
      <c r="J75" s="78"/>
      <c r="K75" s="77"/>
      <c r="L75" s="77"/>
      <c r="S75" s="77">
        <v>13020.3</v>
      </c>
      <c r="T75" s="77"/>
      <c r="U75" s="77"/>
      <c r="V75" s="77"/>
      <c r="W75" s="77"/>
      <c r="X75" s="77"/>
      <c r="Y75" s="77"/>
      <c r="Z75" s="77"/>
      <c r="AA75" s="77"/>
      <c r="AB75" s="77"/>
    </row>
    <row r="76" spans="1:28" ht="25.5" customHeight="1">
      <c r="A76" s="59"/>
      <c r="B76" s="63" t="s">
        <v>137</v>
      </c>
      <c r="C76" s="77">
        <v>0</v>
      </c>
      <c r="D76" s="78">
        <v>3730.1</v>
      </c>
      <c r="E76" s="78"/>
      <c r="F76" s="78"/>
      <c r="G76" s="78"/>
      <c r="H76" s="78"/>
      <c r="I76" s="78"/>
      <c r="J76" s="78"/>
      <c r="K76" s="77">
        <v>3748.3</v>
      </c>
      <c r="L76" s="77">
        <f t="shared" si="2"/>
        <v>3748.3</v>
      </c>
      <c r="S76" s="77">
        <f>4535.5</f>
        <v>4535.5</v>
      </c>
      <c r="T76" s="77">
        <f>0</f>
        <v>0</v>
      </c>
      <c r="U76" s="73"/>
      <c r="V76" s="73"/>
      <c r="W76" s="73"/>
      <c r="X76" s="73"/>
      <c r="Y76" s="73"/>
      <c r="Z76" s="73"/>
      <c r="AA76" s="77">
        <f t="shared" si="38"/>
        <v>0</v>
      </c>
      <c r="AB76" s="77">
        <f>S76+AA76</f>
        <v>4535.5</v>
      </c>
    </row>
    <row r="77" spans="1:28" ht="22.5" customHeight="1">
      <c r="A77" s="59"/>
      <c r="B77" s="63" t="s">
        <v>273</v>
      </c>
      <c r="C77" s="77">
        <v>9472</v>
      </c>
      <c r="D77" s="78"/>
      <c r="E77" s="78"/>
      <c r="F77" s="78"/>
      <c r="G77" s="78"/>
      <c r="H77" s="78"/>
      <c r="I77" s="78"/>
      <c r="J77" s="78"/>
      <c r="K77" s="77">
        <f>D77+E77+F77+G77+H77+I77+J77</f>
        <v>0</v>
      </c>
      <c r="L77" s="77">
        <f t="shared" si="2"/>
        <v>9472</v>
      </c>
      <c r="S77" s="77">
        <f>12519.1</f>
        <v>12519.1</v>
      </c>
      <c r="T77" s="77"/>
      <c r="U77" s="73"/>
      <c r="V77" s="73"/>
      <c r="W77" s="73"/>
      <c r="X77" s="73"/>
      <c r="Y77" s="73"/>
      <c r="Z77" s="73"/>
      <c r="AA77" s="77">
        <f t="shared" si="38"/>
        <v>0</v>
      </c>
      <c r="AB77" s="77">
        <f>S77+AA77</f>
        <v>12519.1</v>
      </c>
    </row>
    <row r="78" spans="1:28" ht="16.5" hidden="1">
      <c r="A78" s="59"/>
      <c r="B78" s="63" t="s">
        <v>72</v>
      </c>
      <c r="C78" s="77">
        <v>0</v>
      </c>
      <c r="D78" s="78"/>
      <c r="E78" s="78"/>
      <c r="F78" s="78"/>
      <c r="G78" s="78"/>
      <c r="H78" s="78"/>
      <c r="I78" s="78"/>
      <c r="J78" s="78"/>
      <c r="K78" s="77"/>
      <c r="L78" s="77"/>
      <c r="S78" s="77">
        <v>0</v>
      </c>
      <c r="T78" s="77"/>
      <c r="U78" s="73"/>
      <c r="V78" s="73"/>
      <c r="W78" s="73"/>
      <c r="X78" s="73"/>
      <c r="Y78" s="73"/>
      <c r="Z78" s="73"/>
      <c r="AA78" s="77"/>
      <c r="AB78" s="77"/>
    </row>
    <row r="79" spans="1:28" ht="16.5" hidden="1">
      <c r="A79" s="59" t="s">
        <v>139</v>
      </c>
      <c r="B79" s="63" t="s">
        <v>140</v>
      </c>
      <c r="C79" s="77">
        <f>C81+C82</f>
        <v>0</v>
      </c>
      <c r="D79" s="78"/>
      <c r="E79" s="78"/>
      <c r="F79" s="78"/>
      <c r="G79" s="78"/>
      <c r="H79" s="78"/>
      <c r="I79" s="78"/>
      <c r="J79" s="78"/>
      <c r="K79" s="77">
        <f>K81+K82</f>
        <v>0</v>
      </c>
      <c r="L79" s="77">
        <f t="shared" si="2"/>
        <v>0</v>
      </c>
      <c r="S79" s="77">
        <f>S81+S82</f>
        <v>0</v>
      </c>
      <c r="T79" s="77"/>
      <c r="U79" s="73"/>
      <c r="V79" s="73"/>
      <c r="W79" s="73"/>
      <c r="X79" s="73"/>
      <c r="Y79" s="73"/>
      <c r="Z79" s="73"/>
      <c r="AA79" s="77">
        <f>AA81+AA82</f>
        <v>0</v>
      </c>
      <c r="AB79" s="77">
        <f>S79+AA79</f>
        <v>0</v>
      </c>
    </row>
    <row r="80" spans="1:28" ht="16.5" hidden="1">
      <c r="A80" s="59"/>
      <c r="B80" s="63" t="s">
        <v>136</v>
      </c>
      <c r="C80" s="77"/>
      <c r="D80" s="78"/>
      <c r="E80" s="78"/>
      <c r="F80" s="78"/>
      <c r="G80" s="78"/>
      <c r="H80" s="78"/>
      <c r="I80" s="78"/>
      <c r="J80" s="78"/>
      <c r="K80" s="77"/>
      <c r="L80" s="77">
        <f t="shared" si="2"/>
        <v>0</v>
      </c>
      <c r="S80" s="77"/>
      <c r="T80" s="77"/>
      <c r="U80" s="73"/>
      <c r="V80" s="73"/>
      <c r="W80" s="73"/>
      <c r="X80" s="73"/>
      <c r="Y80" s="73"/>
      <c r="Z80" s="73"/>
      <c r="AA80" s="77"/>
      <c r="AB80" s="77">
        <f>S80+AA80</f>
        <v>0</v>
      </c>
    </row>
    <row r="81" spans="1:28" ht="16.5" hidden="1">
      <c r="A81" s="59"/>
      <c r="B81" s="63" t="s">
        <v>141</v>
      </c>
      <c r="C81" s="77">
        <f>0</f>
        <v>0</v>
      </c>
      <c r="D81" s="78"/>
      <c r="E81" s="78"/>
      <c r="F81" s="78"/>
      <c r="G81" s="78"/>
      <c r="H81" s="78"/>
      <c r="I81" s="78"/>
      <c r="J81" s="78"/>
      <c r="K81" s="77">
        <v>0</v>
      </c>
      <c r="L81" s="77">
        <f t="shared" si="2"/>
        <v>0</v>
      </c>
      <c r="S81" s="77">
        <f>0</f>
        <v>0</v>
      </c>
      <c r="T81" s="77"/>
      <c r="U81" s="73"/>
      <c r="V81" s="73"/>
      <c r="W81" s="73"/>
      <c r="X81" s="73"/>
      <c r="Y81" s="73"/>
      <c r="Z81" s="73"/>
      <c r="AA81" s="77">
        <v>0</v>
      </c>
      <c r="AB81" s="77">
        <f>S81+AA81</f>
        <v>0</v>
      </c>
    </row>
    <row r="82" spans="1:28" ht="16.5" hidden="1">
      <c r="A82" s="59"/>
      <c r="B82" s="63" t="s">
        <v>142</v>
      </c>
      <c r="C82" s="77">
        <f>0</f>
        <v>0</v>
      </c>
      <c r="D82" s="78"/>
      <c r="E82" s="78"/>
      <c r="F82" s="78"/>
      <c r="G82" s="78"/>
      <c r="H82" s="78"/>
      <c r="I82" s="78"/>
      <c r="J82" s="78"/>
      <c r="K82" s="77">
        <v>0</v>
      </c>
      <c r="L82" s="77">
        <f t="shared" si="2"/>
        <v>0</v>
      </c>
      <c r="S82" s="77">
        <f>0</f>
        <v>0</v>
      </c>
      <c r="T82" s="77"/>
      <c r="U82" s="73"/>
      <c r="V82" s="73"/>
      <c r="W82" s="73"/>
      <c r="X82" s="73"/>
      <c r="Y82" s="73"/>
      <c r="Z82" s="73"/>
      <c r="AA82" s="77">
        <v>0</v>
      </c>
      <c r="AB82" s="77">
        <f>S82+AA82</f>
        <v>0</v>
      </c>
    </row>
    <row r="83" spans="1:28" ht="38.25" customHeight="1">
      <c r="A83" s="59" t="s">
        <v>143</v>
      </c>
      <c r="B83" s="63" t="s">
        <v>376</v>
      </c>
      <c r="C83" s="77">
        <f>C85+C86+C87+C88</f>
        <v>4161.1</v>
      </c>
      <c r="D83" s="78">
        <f aca="true" t="shared" si="42" ref="D83:J83">D85+D86+D87+D88</f>
        <v>0</v>
      </c>
      <c r="E83" s="78">
        <f t="shared" si="42"/>
        <v>3</v>
      </c>
      <c r="F83" s="78">
        <f t="shared" si="42"/>
        <v>3</v>
      </c>
      <c r="G83" s="78">
        <f t="shared" si="42"/>
        <v>3</v>
      </c>
      <c r="H83" s="78">
        <f t="shared" si="42"/>
        <v>3</v>
      </c>
      <c r="I83" s="78">
        <f t="shared" si="42"/>
        <v>3</v>
      </c>
      <c r="J83" s="78">
        <f t="shared" si="42"/>
        <v>3</v>
      </c>
      <c r="K83" s="77">
        <f>K85+K86+K87+K88</f>
        <v>0</v>
      </c>
      <c r="L83" s="77">
        <f>C83+K83-K87</f>
        <v>4161.1</v>
      </c>
      <c r="S83" s="77">
        <f>S85+S86+S87+S88</f>
        <v>3909.3</v>
      </c>
      <c r="T83" s="77">
        <f aca="true" t="shared" si="43" ref="T83:Z83">T85+T86+T87+T88</f>
        <v>0</v>
      </c>
      <c r="U83" s="73">
        <f t="shared" si="43"/>
        <v>0</v>
      </c>
      <c r="V83" s="73">
        <f t="shared" si="43"/>
        <v>0</v>
      </c>
      <c r="W83" s="73">
        <f t="shared" si="43"/>
        <v>0</v>
      </c>
      <c r="X83" s="73">
        <f t="shared" si="43"/>
        <v>0</v>
      </c>
      <c r="Y83" s="73">
        <f t="shared" si="43"/>
        <v>0</v>
      </c>
      <c r="Z83" s="73">
        <f t="shared" si="43"/>
        <v>0</v>
      </c>
      <c r="AA83" s="77">
        <f>AA85+AA86+AA87+AA88</f>
        <v>0</v>
      </c>
      <c r="AB83" s="77">
        <f>S83+AA83-AA87</f>
        <v>3909.3</v>
      </c>
    </row>
    <row r="84" spans="1:28" ht="16.5" hidden="1">
      <c r="A84" s="59"/>
      <c r="B84" s="63" t="s">
        <v>136</v>
      </c>
      <c r="C84" s="77"/>
      <c r="D84" s="78"/>
      <c r="E84" s="78"/>
      <c r="F84" s="78"/>
      <c r="G84" s="78"/>
      <c r="H84" s="78"/>
      <c r="I84" s="78"/>
      <c r="J84" s="78"/>
      <c r="K84" s="77"/>
      <c r="L84" s="77">
        <f aca="true" t="shared" si="44" ref="L84:L147">C84+K84</f>
        <v>0</v>
      </c>
      <c r="S84" s="77"/>
      <c r="T84" s="77"/>
      <c r="U84" s="73"/>
      <c r="V84" s="73"/>
      <c r="W84" s="73"/>
      <c r="X84" s="73"/>
      <c r="Y84" s="73"/>
      <c r="Z84" s="73"/>
      <c r="AA84" s="77"/>
      <c r="AB84" s="77">
        <f>S84+AA84</f>
        <v>0</v>
      </c>
    </row>
    <row r="85" spans="1:28" ht="37.5" customHeight="1">
      <c r="A85" s="59"/>
      <c r="B85" s="63" t="s">
        <v>144</v>
      </c>
      <c r="C85" s="77">
        <v>3594.4</v>
      </c>
      <c r="D85" s="78"/>
      <c r="E85" s="78"/>
      <c r="F85" s="78"/>
      <c r="G85" s="78"/>
      <c r="H85" s="78"/>
      <c r="I85" s="78"/>
      <c r="J85" s="78"/>
      <c r="K85" s="77">
        <f>D85+E85+F85+G85+H85+I85+J85</f>
        <v>0</v>
      </c>
      <c r="L85" s="77">
        <f t="shared" si="44"/>
        <v>3594.4</v>
      </c>
      <c r="S85" s="77">
        <f>3500</f>
        <v>3500</v>
      </c>
      <c r="T85" s="77"/>
      <c r="U85" s="73"/>
      <c r="V85" s="73"/>
      <c r="W85" s="73"/>
      <c r="X85" s="73"/>
      <c r="Y85" s="73"/>
      <c r="Z85" s="73"/>
      <c r="AA85" s="77">
        <f>T85+U85+V85+W85+X85+Y85+Z85</f>
        <v>0</v>
      </c>
      <c r="AB85" s="77">
        <f>S85+AA85</f>
        <v>3500</v>
      </c>
    </row>
    <row r="86" spans="1:28" ht="33">
      <c r="A86" s="59"/>
      <c r="B86" s="63" t="s">
        <v>383</v>
      </c>
      <c r="C86" s="77">
        <v>566.7</v>
      </c>
      <c r="D86" s="78"/>
      <c r="E86" s="78"/>
      <c r="F86" s="78"/>
      <c r="G86" s="78"/>
      <c r="H86" s="78"/>
      <c r="I86" s="78"/>
      <c r="J86" s="78"/>
      <c r="K86" s="77">
        <f>D86+E86+F86+G86+H86+I86+J86</f>
        <v>0</v>
      </c>
      <c r="L86" s="77">
        <f t="shared" si="44"/>
        <v>566.7</v>
      </c>
      <c r="M86" s="3">
        <v>1</v>
      </c>
      <c r="N86" s="3" t="s">
        <v>270</v>
      </c>
      <c r="O86" s="3">
        <v>2400</v>
      </c>
      <c r="P86" s="3" t="s">
        <v>271</v>
      </c>
      <c r="S86" s="77">
        <f>329.3</f>
        <v>329.3</v>
      </c>
      <c r="T86" s="77"/>
      <c r="U86" s="73"/>
      <c r="V86" s="73"/>
      <c r="W86" s="73"/>
      <c r="X86" s="73"/>
      <c r="Y86" s="73"/>
      <c r="Z86" s="73"/>
      <c r="AA86" s="77">
        <f>T86+U86+V86+W86+X86+Y86+Z86</f>
        <v>0</v>
      </c>
      <c r="AB86" s="77">
        <f>S86+AA86</f>
        <v>329.3</v>
      </c>
    </row>
    <row r="87" spans="1:28" ht="16.5" hidden="1">
      <c r="A87" s="80"/>
      <c r="B87" s="81" t="s">
        <v>72</v>
      </c>
      <c r="C87" s="77"/>
      <c r="D87" s="78"/>
      <c r="E87" s="78"/>
      <c r="F87" s="78"/>
      <c r="G87" s="78"/>
      <c r="H87" s="78"/>
      <c r="I87" s="78"/>
      <c r="J87" s="78"/>
      <c r="K87" s="77"/>
      <c r="L87" s="82"/>
      <c r="S87" s="77"/>
      <c r="T87" s="77"/>
      <c r="U87" s="85"/>
      <c r="V87" s="85"/>
      <c r="W87" s="85"/>
      <c r="X87" s="85"/>
      <c r="Y87" s="85"/>
      <c r="Z87" s="85"/>
      <c r="AA87" s="77">
        <f>T87+U87+V87+W87+X87+Y87+Z87</f>
        <v>0</v>
      </c>
      <c r="AB87" s="82"/>
    </row>
    <row r="88" spans="1:28" ht="29.25" customHeight="1">
      <c r="A88" s="59"/>
      <c r="B88" s="86" t="s">
        <v>100</v>
      </c>
      <c r="C88" s="77">
        <v>0</v>
      </c>
      <c r="D88" s="78"/>
      <c r="E88" s="78">
        <v>3</v>
      </c>
      <c r="F88" s="78">
        <v>3</v>
      </c>
      <c r="G88" s="78">
        <v>3</v>
      </c>
      <c r="H88" s="78">
        <v>3</v>
      </c>
      <c r="I88" s="78">
        <v>3</v>
      </c>
      <c r="J88" s="78">
        <v>3</v>
      </c>
      <c r="K88" s="77">
        <v>0</v>
      </c>
      <c r="L88" s="77">
        <f t="shared" si="44"/>
        <v>0</v>
      </c>
      <c r="S88" s="77">
        <f>80</f>
        <v>80</v>
      </c>
      <c r="T88" s="77"/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73">
        <v>0</v>
      </c>
      <c r="AA88" s="77">
        <f>T88+U88+V88+W88+X88+Y88+Z88</f>
        <v>0</v>
      </c>
      <c r="AB88" s="77">
        <f aca="true" t="shared" si="45" ref="AB88:AB96">S88+AA88</f>
        <v>80</v>
      </c>
    </row>
    <row r="89" spans="1:28" ht="25.5" customHeight="1">
      <c r="A89" s="59" t="s">
        <v>146</v>
      </c>
      <c r="B89" s="86" t="s">
        <v>377</v>
      </c>
      <c r="C89" s="77">
        <f>C91+C92+C93</f>
        <v>20348.3</v>
      </c>
      <c r="D89" s="78">
        <f aca="true" t="shared" si="46" ref="D89:J89">D91+D92+D93</f>
        <v>0</v>
      </c>
      <c r="E89" s="78">
        <f t="shared" si="46"/>
        <v>0</v>
      </c>
      <c r="F89" s="78">
        <f t="shared" si="46"/>
        <v>0</v>
      </c>
      <c r="G89" s="78">
        <f t="shared" si="46"/>
        <v>0</v>
      </c>
      <c r="H89" s="78">
        <f t="shared" si="46"/>
        <v>0</v>
      </c>
      <c r="I89" s="78">
        <f t="shared" si="46"/>
        <v>0</v>
      </c>
      <c r="J89" s="78">
        <f t="shared" si="46"/>
        <v>0</v>
      </c>
      <c r="K89" s="77">
        <f>K91+K92+K93</f>
        <v>0</v>
      </c>
      <c r="L89" s="77">
        <f t="shared" si="44"/>
        <v>20348.3</v>
      </c>
      <c r="S89" s="77">
        <f>S91+S92+S93</f>
        <v>22633.7</v>
      </c>
      <c r="T89" s="77">
        <f aca="true" t="shared" si="47" ref="T89:Z89">T91+T92+T93</f>
        <v>0</v>
      </c>
      <c r="U89" s="73">
        <f t="shared" si="47"/>
        <v>0</v>
      </c>
      <c r="V89" s="73">
        <f t="shared" si="47"/>
        <v>0</v>
      </c>
      <c r="W89" s="73">
        <f t="shared" si="47"/>
        <v>0</v>
      </c>
      <c r="X89" s="73">
        <f t="shared" si="47"/>
        <v>0</v>
      </c>
      <c r="Y89" s="73">
        <f t="shared" si="47"/>
        <v>0</v>
      </c>
      <c r="Z89" s="73">
        <f t="shared" si="47"/>
        <v>0</v>
      </c>
      <c r="AA89" s="77">
        <f>T89+U89+V89+W89+X89+Y89+Z89</f>
        <v>0</v>
      </c>
      <c r="AB89" s="77">
        <f t="shared" si="45"/>
        <v>22633.7</v>
      </c>
    </row>
    <row r="90" spans="1:28" ht="16.5" hidden="1">
      <c r="A90" s="59"/>
      <c r="B90" s="86" t="s">
        <v>136</v>
      </c>
      <c r="C90" s="77"/>
      <c r="D90" s="78"/>
      <c r="E90" s="78"/>
      <c r="F90" s="78"/>
      <c r="G90" s="78"/>
      <c r="H90" s="78"/>
      <c r="I90" s="78"/>
      <c r="J90" s="78"/>
      <c r="K90" s="77"/>
      <c r="L90" s="77">
        <f t="shared" si="44"/>
        <v>0</v>
      </c>
      <c r="S90" s="77"/>
      <c r="T90" s="77"/>
      <c r="U90" s="73"/>
      <c r="V90" s="73"/>
      <c r="W90" s="73"/>
      <c r="X90" s="73"/>
      <c r="Y90" s="73"/>
      <c r="Z90" s="73"/>
      <c r="AA90" s="77"/>
      <c r="AB90" s="77">
        <f t="shared" si="45"/>
        <v>0</v>
      </c>
    </row>
    <row r="91" spans="1:28" ht="16.5">
      <c r="A91" s="59"/>
      <c r="B91" s="63" t="s">
        <v>147</v>
      </c>
      <c r="C91" s="77">
        <v>2200.6</v>
      </c>
      <c r="D91" s="78"/>
      <c r="E91" s="78"/>
      <c r="F91" s="78"/>
      <c r="G91" s="78"/>
      <c r="H91" s="78"/>
      <c r="I91" s="78"/>
      <c r="J91" s="78"/>
      <c r="K91" s="77">
        <f>D91+E91+F91+G91+H91+I91+J91</f>
        <v>0</v>
      </c>
      <c r="L91" s="77">
        <f t="shared" si="44"/>
        <v>2200.6</v>
      </c>
      <c r="S91" s="77">
        <f>2975</f>
        <v>2975</v>
      </c>
      <c r="T91" s="77"/>
      <c r="U91" s="73"/>
      <c r="V91" s="73"/>
      <c r="W91" s="73"/>
      <c r="X91" s="73"/>
      <c r="Y91" s="73"/>
      <c r="Z91" s="73"/>
      <c r="AA91" s="77">
        <f>T91+U91+V91+W91+X91+Y91+Z91</f>
        <v>0</v>
      </c>
      <c r="AB91" s="77">
        <f t="shared" si="45"/>
        <v>2975</v>
      </c>
    </row>
    <row r="92" spans="1:28" ht="49.5">
      <c r="A92" s="59"/>
      <c r="B92" s="63" t="s">
        <v>275</v>
      </c>
      <c r="C92" s="77">
        <v>17647.7</v>
      </c>
      <c r="D92" s="78"/>
      <c r="E92" s="78"/>
      <c r="F92" s="78"/>
      <c r="G92" s="78"/>
      <c r="H92" s="78"/>
      <c r="I92" s="78"/>
      <c r="J92" s="78"/>
      <c r="K92" s="77">
        <f>D92+E92+F92+G92+H92+I92+J92</f>
        <v>0</v>
      </c>
      <c r="L92" s="77">
        <f t="shared" si="44"/>
        <v>17647.7</v>
      </c>
      <c r="M92" s="3">
        <v>100</v>
      </c>
      <c r="N92" s="3" t="s">
        <v>270</v>
      </c>
      <c r="S92" s="77">
        <f>19138.7</f>
        <v>19138.7</v>
      </c>
      <c r="T92" s="77"/>
      <c r="U92" s="73"/>
      <c r="V92" s="73"/>
      <c r="W92" s="73"/>
      <c r="X92" s="73"/>
      <c r="Y92" s="73"/>
      <c r="Z92" s="73"/>
      <c r="AA92" s="77">
        <f>T92+U92+V92+W92+X92+Y92+Z92</f>
        <v>0</v>
      </c>
      <c r="AB92" s="77">
        <f t="shared" si="45"/>
        <v>19138.7</v>
      </c>
    </row>
    <row r="93" spans="1:28" ht="16.5">
      <c r="A93" s="59"/>
      <c r="B93" s="63" t="s">
        <v>100</v>
      </c>
      <c r="C93" s="77">
        <v>500</v>
      </c>
      <c r="D93" s="78"/>
      <c r="E93" s="78"/>
      <c r="F93" s="78"/>
      <c r="G93" s="78"/>
      <c r="H93" s="78"/>
      <c r="I93" s="78"/>
      <c r="J93" s="78"/>
      <c r="K93" s="77">
        <f>D93+E93+F93+G93+H93+I93+J93</f>
        <v>0</v>
      </c>
      <c r="L93" s="77">
        <f t="shared" si="44"/>
        <v>500</v>
      </c>
      <c r="S93" s="77">
        <f>520</f>
        <v>520</v>
      </c>
      <c r="T93" s="77"/>
      <c r="U93" s="73"/>
      <c r="V93" s="73"/>
      <c r="W93" s="73"/>
      <c r="X93" s="73"/>
      <c r="Y93" s="73"/>
      <c r="Z93" s="73"/>
      <c r="AA93" s="77">
        <f>T93+U93+V93+W93+X93+Y93+Z93</f>
        <v>0</v>
      </c>
      <c r="AB93" s="77">
        <f t="shared" si="45"/>
        <v>520</v>
      </c>
    </row>
    <row r="94" spans="1:28" s="1" customFormat="1" ht="22.5" customHeight="1">
      <c r="A94" s="228" t="s">
        <v>150</v>
      </c>
      <c r="B94" s="229" t="s">
        <v>151</v>
      </c>
      <c r="C94" s="85">
        <f>C95+C100</f>
        <v>54020.3</v>
      </c>
      <c r="D94" s="232">
        <f aca="true" t="shared" si="48" ref="D94:J94">D95+D100</f>
        <v>0</v>
      </c>
      <c r="E94" s="232">
        <f t="shared" si="48"/>
        <v>0</v>
      </c>
      <c r="F94" s="232">
        <f t="shared" si="48"/>
        <v>0</v>
      </c>
      <c r="G94" s="232">
        <f t="shared" si="48"/>
        <v>0</v>
      </c>
      <c r="H94" s="232">
        <f t="shared" si="48"/>
        <v>0</v>
      </c>
      <c r="I94" s="232">
        <f t="shared" si="48"/>
        <v>0</v>
      </c>
      <c r="J94" s="232">
        <f t="shared" si="48"/>
        <v>0</v>
      </c>
      <c r="K94" s="85">
        <f>K95+K100</f>
        <v>0</v>
      </c>
      <c r="L94" s="85">
        <f t="shared" si="44"/>
        <v>54020.3</v>
      </c>
      <c r="M94" s="134"/>
      <c r="N94" s="134"/>
      <c r="O94" s="134"/>
      <c r="P94" s="134"/>
      <c r="Q94" s="134"/>
      <c r="R94" s="233"/>
      <c r="S94" s="85">
        <f>S95+S100</f>
        <v>98439.3</v>
      </c>
      <c r="T94" s="85">
        <f aca="true" t="shared" si="49" ref="T94:Z94">T95+T100</f>
        <v>0</v>
      </c>
      <c r="U94" s="85">
        <f t="shared" si="49"/>
        <v>0</v>
      </c>
      <c r="V94" s="85">
        <f t="shared" si="49"/>
        <v>0</v>
      </c>
      <c r="W94" s="85">
        <f t="shared" si="49"/>
        <v>0</v>
      </c>
      <c r="X94" s="85">
        <f t="shared" si="49"/>
        <v>0</v>
      </c>
      <c r="Y94" s="85">
        <f t="shared" si="49"/>
        <v>0</v>
      </c>
      <c r="Z94" s="85">
        <f t="shared" si="49"/>
        <v>0</v>
      </c>
      <c r="AA94" s="85">
        <f>AA95+AA100</f>
        <v>0</v>
      </c>
      <c r="AB94" s="85">
        <f t="shared" si="45"/>
        <v>98439.3</v>
      </c>
    </row>
    <row r="95" spans="1:28" ht="23.25" customHeight="1">
      <c r="A95" s="59" t="s">
        <v>152</v>
      </c>
      <c r="B95" s="63" t="s">
        <v>358</v>
      </c>
      <c r="C95" s="77">
        <f aca="true" t="shared" si="50" ref="C95:J95">C96+C97+C98+C99</f>
        <v>50916.3</v>
      </c>
      <c r="D95" s="78">
        <f t="shared" si="50"/>
        <v>0</v>
      </c>
      <c r="E95" s="78">
        <f t="shared" si="50"/>
        <v>0</v>
      </c>
      <c r="F95" s="78"/>
      <c r="G95" s="78">
        <f t="shared" si="50"/>
        <v>0</v>
      </c>
      <c r="H95" s="78">
        <f t="shared" si="50"/>
        <v>0</v>
      </c>
      <c r="I95" s="78">
        <f t="shared" si="50"/>
        <v>0</v>
      </c>
      <c r="J95" s="78">
        <f t="shared" si="50"/>
        <v>0</v>
      </c>
      <c r="K95" s="77">
        <f>K96+K97+K98+K99</f>
        <v>0</v>
      </c>
      <c r="L95" s="77">
        <f t="shared" si="44"/>
        <v>50916.3</v>
      </c>
      <c r="S95" s="77">
        <f>S96+S97+S98+S99</f>
        <v>79558.3</v>
      </c>
      <c r="T95" s="77">
        <f>T96+T97+T98+T99</f>
        <v>0</v>
      </c>
      <c r="U95" s="73">
        <f aca="true" t="shared" si="51" ref="U95:Z95">U96+U97+U98+U99</f>
        <v>0</v>
      </c>
      <c r="V95" s="73"/>
      <c r="W95" s="73">
        <f t="shared" si="51"/>
        <v>0</v>
      </c>
      <c r="X95" s="73">
        <f t="shared" si="51"/>
        <v>0</v>
      </c>
      <c r="Y95" s="73">
        <f t="shared" si="51"/>
        <v>0</v>
      </c>
      <c r="Z95" s="73">
        <f t="shared" si="51"/>
        <v>0</v>
      </c>
      <c r="AA95" s="77">
        <f>AA96+AA97+AA98+AA99</f>
        <v>0</v>
      </c>
      <c r="AB95" s="77">
        <f t="shared" si="45"/>
        <v>79558.3</v>
      </c>
    </row>
    <row r="96" spans="1:28" ht="33">
      <c r="A96" s="59"/>
      <c r="B96" s="63" t="s">
        <v>359</v>
      </c>
      <c r="C96" s="77">
        <v>50916.3</v>
      </c>
      <c r="D96" s="78"/>
      <c r="E96" s="78"/>
      <c r="F96" s="78"/>
      <c r="G96" s="78"/>
      <c r="H96" s="78"/>
      <c r="I96" s="78"/>
      <c r="J96" s="78"/>
      <c r="K96" s="77">
        <f>D96+E96+F96+G96+H96+I96+J96</f>
        <v>0</v>
      </c>
      <c r="L96" s="77">
        <f t="shared" si="44"/>
        <v>50916.3</v>
      </c>
      <c r="S96" s="77">
        <v>79558.3</v>
      </c>
      <c r="T96" s="77"/>
      <c r="U96" s="73"/>
      <c r="V96" s="73"/>
      <c r="W96" s="73"/>
      <c r="X96" s="73"/>
      <c r="Y96" s="73"/>
      <c r="Z96" s="73"/>
      <c r="AA96" s="77">
        <f>T96+U96+V96+W96+X96+Y96+Z96</f>
        <v>0</v>
      </c>
      <c r="AB96" s="77">
        <f t="shared" si="45"/>
        <v>79558.3</v>
      </c>
    </row>
    <row r="97" spans="1:28" ht="16.5" hidden="1">
      <c r="A97" s="59"/>
      <c r="B97" s="63" t="s">
        <v>278</v>
      </c>
      <c r="C97" s="77"/>
      <c r="D97" s="78"/>
      <c r="E97" s="78"/>
      <c r="F97" s="78"/>
      <c r="G97" s="78"/>
      <c r="H97" s="78"/>
      <c r="I97" s="78"/>
      <c r="J97" s="78"/>
      <c r="K97" s="77">
        <f>D97+E97+F97+G97+H97+I97+J97</f>
        <v>0</v>
      </c>
      <c r="L97" s="77"/>
      <c r="S97" s="77"/>
      <c r="T97" s="77"/>
      <c r="U97" s="73"/>
      <c r="V97" s="73"/>
      <c r="W97" s="73"/>
      <c r="X97" s="73"/>
      <c r="Y97" s="73"/>
      <c r="Z97" s="73"/>
      <c r="AA97" s="77">
        <f>T97+U97+V97+W97+X97+Y97+Z97</f>
        <v>0</v>
      </c>
      <c r="AB97" s="77"/>
    </row>
    <row r="98" spans="1:28" ht="16.5" hidden="1">
      <c r="A98" s="59"/>
      <c r="B98" s="63" t="s">
        <v>279</v>
      </c>
      <c r="C98" s="77"/>
      <c r="D98" s="78"/>
      <c r="E98" s="78"/>
      <c r="F98" s="78"/>
      <c r="G98" s="78"/>
      <c r="H98" s="78"/>
      <c r="I98" s="78"/>
      <c r="J98" s="78"/>
      <c r="K98" s="77">
        <f>D98+E98+F98+G98+H98+I98+J98</f>
        <v>0</v>
      </c>
      <c r="L98" s="77">
        <f t="shared" si="44"/>
        <v>0</v>
      </c>
      <c r="S98" s="77"/>
      <c r="T98" s="77"/>
      <c r="U98" s="73"/>
      <c r="V98" s="73"/>
      <c r="W98" s="73"/>
      <c r="X98" s="73"/>
      <c r="Y98" s="73"/>
      <c r="Z98" s="73"/>
      <c r="AA98" s="77">
        <f>T98+U98+V98+W98+X98+Y98+Z98</f>
        <v>0</v>
      </c>
      <c r="AB98" s="77">
        <f aca="true" t="shared" si="52" ref="AB98:AB122">S98+AA98</f>
        <v>0</v>
      </c>
    </row>
    <row r="99" spans="1:28" ht="16.5" hidden="1">
      <c r="A99" s="59"/>
      <c r="B99" s="63" t="s">
        <v>270</v>
      </c>
      <c r="C99" s="77"/>
      <c r="D99" s="78"/>
      <c r="E99" s="78"/>
      <c r="F99" s="78"/>
      <c r="G99" s="78"/>
      <c r="H99" s="78"/>
      <c r="I99" s="78"/>
      <c r="J99" s="78"/>
      <c r="K99" s="77">
        <f>D99+E99+F99+G99+H99+I99+J99</f>
        <v>0</v>
      </c>
      <c r="L99" s="77">
        <f t="shared" si="44"/>
        <v>0</v>
      </c>
      <c r="M99" s="3">
        <v>160</v>
      </c>
      <c r="N99" s="3" t="s">
        <v>270</v>
      </c>
      <c r="S99" s="77"/>
      <c r="T99" s="77"/>
      <c r="U99" s="73"/>
      <c r="V99" s="73"/>
      <c r="W99" s="73"/>
      <c r="X99" s="73"/>
      <c r="Y99" s="73"/>
      <c r="Z99" s="73"/>
      <c r="AA99" s="77">
        <f>T99+U99+V99+W99+X99+Y99+Z99</f>
        <v>0</v>
      </c>
      <c r="AB99" s="77">
        <f t="shared" si="52"/>
        <v>0</v>
      </c>
    </row>
    <row r="100" spans="1:28" ht="21" customHeight="1">
      <c r="A100" s="59" t="s">
        <v>154</v>
      </c>
      <c r="B100" s="63" t="s">
        <v>378</v>
      </c>
      <c r="C100" s="77">
        <f aca="true" t="shared" si="53" ref="C100:J100">C102+C103+C104</f>
        <v>3104</v>
      </c>
      <c r="D100" s="78">
        <f t="shared" si="53"/>
        <v>0</v>
      </c>
      <c r="E100" s="78">
        <f t="shared" si="53"/>
        <v>0</v>
      </c>
      <c r="F100" s="78"/>
      <c r="G100" s="78">
        <f t="shared" si="53"/>
        <v>0</v>
      </c>
      <c r="H100" s="78">
        <f t="shared" si="53"/>
        <v>0</v>
      </c>
      <c r="I100" s="78">
        <f t="shared" si="53"/>
        <v>0</v>
      </c>
      <c r="J100" s="78">
        <f t="shared" si="53"/>
        <v>0</v>
      </c>
      <c r="K100" s="77">
        <f>K102+K103+K104</f>
        <v>0</v>
      </c>
      <c r="L100" s="77">
        <f t="shared" si="44"/>
        <v>3104</v>
      </c>
      <c r="S100" s="77">
        <f>S102+S103+S104</f>
        <v>18881</v>
      </c>
      <c r="T100" s="77">
        <f>T102+T103+T104</f>
        <v>0</v>
      </c>
      <c r="U100" s="73">
        <f aca="true" t="shared" si="54" ref="U100:Z100">U102+U103+U104</f>
        <v>0</v>
      </c>
      <c r="V100" s="73"/>
      <c r="W100" s="73">
        <f t="shared" si="54"/>
        <v>0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7">
        <f>AA102+AA103+AA104</f>
        <v>0</v>
      </c>
      <c r="AB100" s="77">
        <f t="shared" si="52"/>
        <v>18881</v>
      </c>
    </row>
    <row r="101" spans="1:28" ht="16.5" hidden="1">
      <c r="A101" s="59"/>
      <c r="B101" s="63" t="s">
        <v>136</v>
      </c>
      <c r="C101" s="77"/>
      <c r="D101" s="78"/>
      <c r="E101" s="78"/>
      <c r="F101" s="78"/>
      <c r="G101" s="78"/>
      <c r="H101" s="78"/>
      <c r="I101" s="78"/>
      <c r="J101" s="78"/>
      <c r="K101" s="77"/>
      <c r="L101" s="77">
        <f t="shared" si="44"/>
        <v>0</v>
      </c>
      <c r="S101" s="77"/>
      <c r="T101" s="77"/>
      <c r="U101" s="73"/>
      <c r="V101" s="73"/>
      <c r="W101" s="73"/>
      <c r="X101" s="73"/>
      <c r="Y101" s="73"/>
      <c r="Z101" s="73"/>
      <c r="AA101" s="77"/>
      <c r="AB101" s="77">
        <f t="shared" si="52"/>
        <v>0</v>
      </c>
    </row>
    <row r="102" spans="1:28" ht="16.5">
      <c r="A102" s="59"/>
      <c r="B102" s="63" t="s">
        <v>147</v>
      </c>
      <c r="C102" s="77">
        <v>745</v>
      </c>
      <c r="D102" s="78"/>
      <c r="E102" s="78"/>
      <c r="F102" s="78"/>
      <c r="G102" s="78"/>
      <c r="H102" s="78"/>
      <c r="I102" s="78"/>
      <c r="J102" s="78"/>
      <c r="K102" s="77">
        <f>D102+E102+F102+G102+H102+I102+J102</f>
        <v>0</v>
      </c>
      <c r="L102" s="77">
        <f t="shared" si="44"/>
        <v>745</v>
      </c>
      <c r="S102" s="77">
        <v>910</v>
      </c>
      <c r="T102" s="77"/>
      <c r="U102" s="73"/>
      <c r="V102" s="73"/>
      <c r="W102" s="73"/>
      <c r="X102" s="73"/>
      <c r="Y102" s="73"/>
      <c r="Z102" s="73"/>
      <c r="AA102" s="77">
        <f>T102+U102+V102+W102+X102+Y102+Z102</f>
        <v>0</v>
      </c>
      <c r="AB102" s="77">
        <f t="shared" si="52"/>
        <v>910</v>
      </c>
    </row>
    <row r="103" spans="1:28" ht="49.5">
      <c r="A103" s="59"/>
      <c r="B103" s="63" t="s">
        <v>148</v>
      </c>
      <c r="C103" s="77">
        <v>2059</v>
      </c>
      <c r="D103" s="78"/>
      <c r="E103" s="78"/>
      <c r="F103" s="78"/>
      <c r="G103" s="78"/>
      <c r="H103" s="78"/>
      <c r="I103" s="78"/>
      <c r="J103" s="78"/>
      <c r="K103" s="77">
        <f>D103+E103+F103+G103+H103+I103+J103</f>
        <v>0</v>
      </c>
      <c r="L103" s="77">
        <f t="shared" si="44"/>
        <v>2059</v>
      </c>
      <c r="M103" s="3">
        <v>5</v>
      </c>
      <c r="N103" s="3" t="s">
        <v>270</v>
      </c>
      <c r="S103" s="77">
        <v>17381</v>
      </c>
      <c r="T103" s="77"/>
      <c r="U103" s="73"/>
      <c r="V103" s="73"/>
      <c r="W103" s="73"/>
      <c r="X103" s="73"/>
      <c r="Y103" s="73"/>
      <c r="Z103" s="73"/>
      <c r="AA103" s="77">
        <f>T103+U103+V103+W103+X103+Y103+Z103</f>
        <v>0</v>
      </c>
      <c r="AB103" s="77">
        <f t="shared" si="52"/>
        <v>17381</v>
      </c>
    </row>
    <row r="104" spans="1:28" ht="16.5">
      <c r="A104" s="59"/>
      <c r="B104" s="63" t="s">
        <v>100</v>
      </c>
      <c r="C104" s="77">
        <v>300</v>
      </c>
      <c r="D104" s="78"/>
      <c r="E104" s="78"/>
      <c r="F104" s="78"/>
      <c r="G104" s="78"/>
      <c r="H104" s="78"/>
      <c r="I104" s="78"/>
      <c r="J104" s="78"/>
      <c r="K104" s="77">
        <f>D104+E104+F104+G104+H104+I104+J104</f>
        <v>0</v>
      </c>
      <c r="L104" s="77">
        <f t="shared" si="44"/>
        <v>300</v>
      </c>
      <c r="S104" s="77">
        <f>590</f>
        <v>590</v>
      </c>
      <c r="T104" s="77"/>
      <c r="U104" s="73"/>
      <c r="V104" s="73"/>
      <c r="W104" s="73"/>
      <c r="X104" s="73"/>
      <c r="Y104" s="73"/>
      <c r="Z104" s="73"/>
      <c r="AA104" s="77">
        <f>T104+U104+V104+W104+X104+Y104+Z104</f>
        <v>0</v>
      </c>
      <c r="AB104" s="77">
        <f t="shared" si="52"/>
        <v>590</v>
      </c>
    </row>
    <row r="105" spans="1:28" ht="16.5" hidden="1">
      <c r="A105" s="59" t="s">
        <v>158</v>
      </c>
      <c r="B105" s="63" t="s">
        <v>159</v>
      </c>
      <c r="C105" s="77">
        <f>C106+C107+C108+C109</f>
        <v>0</v>
      </c>
      <c r="D105" s="78"/>
      <c r="E105" s="78"/>
      <c r="F105" s="78"/>
      <c r="G105" s="78"/>
      <c r="H105" s="78"/>
      <c r="I105" s="78"/>
      <c r="J105" s="78"/>
      <c r="K105" s="77">
        <f>K106+K107+K108+K109</f>
        <v>0</v>
      </c>
      <c r="L105" s="77">
        <f t="shared" si="44"/>
        <v>0</v>
      </c>
      <c r="S105" s="77">
        <f>S106+S107+S108+S109</f>
        <v>0</v>
      </c>
      <c r="T105" s="77"/>
      <c r="U105" s="73"/>
      <c r="V105" s="73"/>
      <c r="W105" s="73"/>
      <c r="X105" s="73"/>
      <c r="Y105" s="73"/>
      <c r="Z105" s="73"/>
      <c r="AA105" s="77">
        <f>AA106+AA107+AA108+AA109</f>
        <v>0</v>
      </c>
      <c r="AB105" s="77">
        <f t="shared" si="52"/>
        <v>0</v>
      </c>
    </row>
    <row r="106" spans="1:28" ht="16.5" hidden="1">
      <c r="A106" s="59" t="s">
        <v>160</v>
      </c>
      <c r="B106" s="63" t="s">
        <v>161</v>
      </c>
      <c r="C106" s="77">
        <f>0</f>
        <v>0</v>
      </c>
      <c r="D106" s="78"/>
      <c r="E106" s="78"/>
      <c r="F106" s="78"/>
      <c r="G106" s="78"/>
      <c r="H106" s="78"/>
      <c r="I106" s="78"/>
      <c r="J106" s="78"/>
      <c r="K106" s="77">
        <v>0</v>
      </c>
      <c r="L106" s="77">
        <f t="shared" si="44"/>
        <v>0</v>
      </c>
      <c r="S106" s="77">
        <f>0</f>
        <v>0</v>
      </c>
      <c r="T106" s="77"/>
      <c r="U106" s="73"/>
      <c r="V106" s="73"/>
      <c r="W106" s="73"/>
      <c r="X106" s="73"/>
      <c r="Y106" s="73"/>
      <c r="Z106" s="73"/>
      <c r="AA106" s="77">
        <v>0</v>
      </c>
      <c r="AB106" s="77">
        <f t="shared" si="52"/>
        <v>0</v>
      </c>
    </row>
    <row r="107" spans="1:28" ht="33" hidden="1">
      <c r="A107" s="59" t="s">
        <v>162</v>
      </c>
      <c r="B107" s="63" t="s">
        <v>163</v>
      </c>
      <c r="C107" s="77">
        <f>0</f>
        <v>0</v>
      </c>
      <c r="D107" s="78"/>
      <c r="E107" s="78"/>
      <c r="F107" s="78"/>
      <c r="G107" s="78"/>
      <c r="H107" s="78"/>
      <c r="I107" s="78"/>
      <c r="J107" s="78"/>
      <c r="K107" s="77">
        <v>0</v>
      </c>
      <c r="L107" s="77">
        <f t="shared" si="44"/>
        <v>0</v>
      </c>
      <c r="S107" s="77">
        <f>0</f>
        <v>0</v>
      </c>
      <c r="T107" s="77"/>
      <c r="U107" s="73"/>
      <c r="V107" s="73"/>
      <c r="W107" s="73"/>
      <c r="X107" s="73"/>
      <c r="Y107" s="73"/>
      <c r="Z107" s="73"/>
      <c r="AA107" s="77">
        <v>0</v>
      </c>
      <c r="AB107" s="77">
        <f t="shared" si="52"/>
        <v>0</v>
      </c>
    </row>
    <row r="108" spans="1:28" ht="33" hidden="1">
      <c r="A108" s="59" t="s">
        <v>164</v>
      </c>
      <c r="B108" s="63" t="s">
        <v>165</v>
      </c>
      <c r="C108" s="77">
        <f>0</f>
        <v>0</v>
      </c>
      <c r="D108" s="78"/>
      <c r="E108" s="78"/>
      <c r="F108" s="78"/>
      <c r="G108" s="78"/>
      <c r="H108" s="78"/>
      <c r="I108" s="78"/>
      <c r="J108" s="78"/>
      <c r="K108" s="77">
        <v>0</v>
      </c>
      <c r="L108" s="77">
        <f t="shared" si="44"/>
        <v>0</v>
      </c>
      <c r="S108" s="77">
        <f>0</f>
        <v>0</v>
      </c>
      <c r="T108" s="77"/>
      <c r="U108" s="73"/>
      <c r="V108" s="73"/>
      <c r="W108" s="73"/>
      <c r="X108" s="73"/>
      <c r="Y108" s="73"/>
      <c r="Z108" s="73"/>
      <c r="AA108" s="77">
        <v>0</v>
      </c>
      <c r="AB108" s="77">
        <f t="shared" si="52"/>
        <v>0</v>
      </c>
    </row>
    <row r="109" spans="1:28" ht="49.5" hidden="1">
      <c r="A109" s="59" t="s">
        <v>166</v>
      </c>
      <c r="B109" s="63" t="s">
        <v>167</v>
      </c>
      <c r="C109" s="77">
        <f>0</f>
        <v>0</v>
      </c>
      <c r="D109" s="78"/>
      <c r="E109" s="78"/>
      <c r="F109" s="78"/>
      <c r="G109" s="78"/>
      <c r="H109" s="78"/>
      <c r="I109" s="78"/>
      <c r="J109" s="78"/>
      <c r="K109" s="77">
        <f>K111+K112</f>
        <v>0</v>
      </c>
      <c r="L109" s="77">
        <f t="shared" si="44"/>
        <v>0</v>
      </c>
      <c r="M109" s="3" t="s">
        <v>168</v>
      </c>
      <c r="S109" s="77">
        <f>0</f>
        <v>0</v>
      </c>
      <c r="T109" s="77"/>
      <c r="U109" s="73"/>
      <c r="V109" s="73"/>
      <c r="W109" s="73"/>
      <c r="X109" s="73"/>
      <c r="Y109" s="73"/>
      <c r="Z109" s="73"/>
      <c r="AA109" s="77">
        <f>AA111+AA112</f>
        <v>0</v>
      </c>
      <c r="AB109" s="77">
        <f t="shared" si="52"/>
        <v>0</v>
      </c>
    </row>
    <row r="110" spans="1:28" ht="16.5" hidden="1">
      <c r="A110" s="59"/>
      <c r="B110" s="63" t="s">
        <v>136</v>
      </c>
      <c r="C110" s="77"/>
      <c r="D110" s="78"/>
      <c r="E110" s="78"/>
      <c r="F110" s="78"/>
      <c r="G110" s="78"/>
      <c r="H110" s="78"/>
      <c r="I110" s="78"/>
      <c r="J110" s="78"/>
      <c r="K110" s="77"/>
      <c r="L110" s="77">
        <f t="shared" si="44"/>
        <v>0</v>
      </c>
      <c r="S110" s="77"/>
      <c r="T110" s="77"/>
      <c r="U110" s="73"/>
      <c r="V110" s="73"/>
      <c r="W110" s="73"/>
      <c r="X110" s="73"/>
      <c r="Y110" s="73"/>
      <c r="Z110" s="73"/>
      <c r="AA110" s="77"/>
      <c r="AB110" s="77">
        <f t="shared" si="52"/>
        <v>0</v>
      </c>
    </row>
    <row r="111" spans="1:28" ht="16.5" hidden="1">
      <c r="A111" s="59"/>
      <c r="B111" s="63" t="s">
        <v>147</v>
      </c>
      <c r="C111" s="77">
        <v>0</v>
      </c>
      <c r="D111" s="78"/>
      <c r="E111" s="78"/>
      <c r="F111" s="78"/>
      <c r="G111" s="78"/>
      <c r="H111" s="78"/>
      <c r="I111" s="78"/>
      <c r="J111" s="78"/>
      <c r="K111" s="77">
        <v>0</v>
      </c>
      <c r="L111" s="77">
        <f t="shared" si="44"/>
        <v>0</v>
      </c>
      <c r="S111" s="77">
        <v>0</v>
      </c>
      <c r="T111" s="77"/>
      <c r="U111" s="73"/>
      <c r="V111" s="73"/>
      <c r="W111" s="73"/>
      <c r="X111" s="73"/>
      <c r="Y111" s="73"/>
      <c r="Z111" s="73"/>
      <c r="AA111" s="77">
        <v>0</v>
      </c>
      <c r="AB111" s="77">
        <f t="shared" si="52"/>
        <v>0</v>
      </c>
    </row>
    <row r="112" spans="1:28" ht="16.5" hidden="1">
      <c r="A112" s="59"/>
      <c r="B112" s="63" t="s">
        <v>100</v>
      </c>
      <c r="C112" s="77">
        <f>0</f>
        <v>0</v>
      </c>
      <c r="D112" s="78"/>
      <c r="E112" s="78"/>
      <c r="F112" s="78"/>
      <c r="G112" s="78"/>
      <c r="H112" s="78"/>
      <c r="I112" s="78"/>
      <c r="J112" s="78"/>
      <c r="K112" s="77">
        <v>0</v>
      </c>
      <c r="L112" s="77">
        <f t="shared" si="44"/>
        <v>0</v>
      </c>
      <c r="S112" s="77">
        <f>0</f>
        <v>0</v>
      </c>
      <c r="T112" s="77"/>
      <c r="U112" s="73"/>
      <c r="V112" s="73"/>
      <c r="W112" s="73"/>
      <c r="X112" s="73"/>
      <c r="Y112" s="73"/>
      <c r="Z112" s="73"/>
      <c r="AA112" s="77">
        <v>0</v>
      </c>
      <c r="AB112" s="77">
        <f t="shared" si="52"/>
        <v>0</v>
      </c>
    </row>
    <row r="113" spans="1:28" ht="19.5" customHeight="1">
      <c r="A113" s="235" t="s">
        <v>169</v>
      </c>
      <c r="B113" s="236" t="s">
        <v>170</v>
      </c>
      <c r="C113" s="82">
        <f>C114+C115+C120</f>
        <v>19534.2</v>
      </c>
      <c r="D113" s="83">
        <f aca="true" t="shared" si="55" ref="D113:J113">D114+D115+D120</f>
        <v>100</v>
      </c>
      <c r="E113" s="83">
        <f t="shared" si="55"/>
        <v>36</v>
      </c>
      <c r="F113" s="83">
        <f t="shared" si="55"/>
        <v>0</v>
      </c>
      <c r="G113" s="83">
        <f t="shared" si="55"/>
        <v>60</v>
      </c>
      <c r="H113" s="83">
        <f t="shared" si="55"/>
        <v>40</v>
      </c>
      <c r="I113" s="83">
        <f t="shared" si="55"/>
        <v>18</v>
      </c>
      <c r="J113" s="83">
        <f t="shared" si="55"/>
        <v>30</v>
      </c>
      <c r="K113" s="82">
        <f>K114+K115+K120</f>
        <v>645</v>
      </c>
      <c r="L113" s="82">
        <f t="shared" si="44"/>
        <v>20179.2</v>
      </c>
      <c r="M113" s="135"/>
      <c r="N113" s="135"/>
      <c r="O113" s="135"/>
      <c r="P113" s="135"/>
      <c r="Q113" s="135"/>
      <c r="R113" s="237"/>
      <c r="S113" s="82">
        <f>S114+S115+S120</f>
        <v>19916.600000000002</v>
      </c>
      <c r="T113" s="82">
        <f aca="true" t="shared" si="56" ref="T113:Z113">T114+T115+T120</f>
        <v>400</v>
      </c>
      <c r="U113" s="85">
        <f t="shared" si="56"/>
        <v>36</v>
      </c>
      <c r="V113" s="85">
        <f t="shared" si="56"/>
        <v>0</v>
      </c>
      <c r="W113" s="85">
        <f t="shared" si="56"/>
        <v>18</v>
      </c>
      <c r="X113" s="85">
        <f t="shared" si="56"/>
        <v>66</v>
      </c>
      <c r="Y113" s="85">
        <f t="shared" si="56"/>
        <v>18</v>
      </c>
      <c r="Z113" s="85">
        <f t="shared" si="56"/>
        <v>110.4</v>
      </c>
      <c r="AA113" s="82">
        <f>AA114+AA115+AA120</f>
        <v>648.4</v>
      </c>
      <c r="AB113" s="82">
        <f t="shared" si="52"/>
        <v>20565.000000000004</v>
      </c>
    </row>
    <row r="114" spans="1:28" ht="50.25" customHeight="1">
      <c r="A114" s="59" t="s">
        <v>171</v>
      </c>
      <c r="B114" s="63" t="s">
        <v>364</v>
      </c>
      <c r="C114" s="77">
        <v>882</v>
      </c>
      <c r="D114" s="78">
        <v>100</v>
      </c>
      <c r="E114" s="78">
        <v>36</v>
      </c>
      <c r="F114" s="78"/>
      <c r="G114" s="78">
        <v>60</v>
      </c>
      <c r="H114" s="78">
        <v>40</v>
      </c>
      <c r="I114" s="78">
        <v>18</v>
      </c>
      <c r="J114" s="78">
        <v>30</v>
      </c>
      <c r="K114" s="77">
        <v>645</v>
      </c>
      <c r="L114" s="77">
        <f t="shared" si="44"/>
        <v>1527</v>
      </c>
      <c r="S114" s="77">
        <f>1400</f>
        <v>1400</v>
      </c>
      <c r="T114" s="77">
        <f>400</f>
        <v>400</v>
      </c>
      <c r="U114" s="73">
        <v>36</v>
      </c>
      <c r="V114" s="73">
        <f>0</f>
        <v>0</v>
      </c>
      <c r="W114" s="73">
        <v>18</v>
      </c>
      <c r="X114" s="73">
        <v>66</v>
      </c>
      <c r="Y114" s="73">
        <v>18</v>
      </c>
      <c r="Z114" s="73">
        <f>110.4</f>
        <v>110.4</v>
      </c>
      <c r="AA114" s="77">
        <f>T114+U114+V114+W114+X114+Y114+Z114</f>
        <v>648.4</v>
      </c>
      <c r="AB114" s="77">
        <f t="shared" si="52"/>
        <v>2048.4</v>
      </c>
    </row>
    <row r="115" spans="1:28" ht="24" customHeight="1">
      <c r="A115" s="59" t="s">
        <v>173</v>
      </c>
      <c r="B115" s="63" t="s">
        <v>379</v>
      </c>
      <c r="C115" s="77">
        <f aca="true" t="shared" si="57" ref="C115:J115">C116+C117+C118+C119</f>
        <v>14530.800000000001</v>
      </c>
      <c r="D115" s="78">
        <f t="shared" si="57"/>
        <v>0</v>
      </c>
      <c r="E115" s="78">
        <f t="shared" si="57"/>
        <v>0</v>
      </c>
      <c r="F115" s="78"/>
      <c r="G115" s="78">
        <f t="shared" si="57"/>
        <v>0</v>
      </c>
      <c r="H115" s="78">
        <f t="shared" si="57"/>
        <v>0</v>
      </c>
      <c r="I115" s="78">
        <f t="shared" si="57"/>
        <v>0</v>
      </c>
      <c r="J115" s="78">
        <f t="shared" si="57"/>
        <v>0</v>
      </c>
      <c r="K115" s="77">
        <f>K116+K117+K118+K119</f>
        <v>0</v>
      </c>
      <c r="L115" s="77">
        <f t="shared" si="44"/>
        <v>14530.800000000001</v>
      </c>
      <c r="S115" s="77">
        <f>S116+S117+S118+S119</f>
        <v>14589.2</v>
      </c>
      <c r="T115" s="77">
        <f>T116+T117+T118+T119</f>
        <v>0</v>
      </c>
      <c r="U115" s="73">
        <f aca="true" t="shared" si="58" ref="U115:Z115">U116+U117+U118+U119</f>
        <v>0</v>
      </c>
      <c r="V115" s="73"/>
      <c r="W115" s="73">
        <f t="shared" si="58"/>
        <v>0</v>
      </c>
      <c r="X115" s="73">
        <f t="shared" si="58"/>
        <v>0</v>
      </c>
      <c r="Y115" s="73">
        <f t="shared" si="58"/>
        <v>0</v>
      </c>
      <c r="Z115" s="73">
        <f t="shared" si="58"/>
        <v>0</v>
      </c>
      <c r="AA115" s="77">
        <f>AA116+AA117+AA118+AA119</f>
        <v>0</v>
      </c>
      <c r="AB115" s="77">
        <f t="shared" si="52"/>
        <v>14589.2</v>
      </c>
    </row>
    <row r="116" spans="1:28" ht="33">
      <c r="A116" s="59"/>
      <c r="B116" s="63" t="s">
        <v>380</v>
      </c>
      <c r="C116" s="77">
        <v>14452.2</v>
      </c>
      <c r="D116" s="78"/>
      <c r="E116" s="78"/>
      <c r="F116" s="78"/>
      <c r="G116" s="78"/>
      <c r="H116" s="78"/>
      <c r="I116" s="78"/>
      <c r="J116" s="78"/>
      <c r="K116" s="77">
        <f>D116+E116+F116+G116+H116+I116+J116</f>
        <v>0</v>
      </c>
      <c r="L116" s="77">
        <f t="shared" si="44"/>
        <v>14452.2</v>
      </c>
      <c r="S116" s="77">
        <f>14504.2</f>
        <v>14504.2</v>
      </c>
      <c r="T116" s="77"/>
      <c r="U116" s="73"/>
      <c r="V116" s="73"/>
      <c r="W116" s="73"/>
      <c r="X116" s="73"/>
      <c r="Y116" s="73"/>
      <c r="Z116" s="73"/>
      <c r="AA116" s="77">
        <f>T116+U116+V116+W116+X116+Y116+Z116</f>
        <v>0</v>
      </c>
      <c r="AB116" s="77">
        <f t="shared" si="52"/>
        <v>14504.2</v>
      </c>
    </row>
    <row r="117" spans="1:28" ht="82.5">
      <c r="A117" s="59"/>
      <c r="B117" s="63" t="s">
        <v>381</v>
      </c>
      <c r="C117" s="77">
        <v>78.6</v>
      </c>
      <c r="D117" s="78"/>
      <c r="E117" s="78"/>
      <c r="F117" s="78">
        <v>0</v>
      </c>
      <c r="G117" s="78"/>
      <c r="H117" s="78"/>
      <c r="I117" s="78"/>
      <c r="J117" s="78"/>
      <c r="K117" s="77">
        <f>D117+E117+F117+G117+H117+I117+J117</f>
        <v>0</v>
      </c>
      <c r="L117" s="77">
        <f t="shared" si="44"/>
        <v>78.6</v>
      </c>
      <c r="S117" s="77">
        <f>55</f>
        <v>55</v>
      </c>
      <c r="T117" s="77"/>
      <c r="U117" s="73"/>
      <c r="V117" s="73">
        <v>0</v>
      </c>
      <c r="W117" s="73"/>
      <c r="X117" s="73"/>
      <c r="Y117" s="73"/>
      <c r="Z117" s="73"/>
      <c r="AA117" s="77">
        <f>T117+U117+V117+W117+X117+Y117+Z117</f>
        <v>0</v>
      </c>
      <c r="AB117" s="77">
        <f t="shared" si="52"/>
        <v>55</v>
      </c>
    </row>
    <row r="118" spans="1:28" ht="16.5" hidden="1">
      <c r="A118" s="59"/>
      <c r="B118" s="63" t="s">
        <v>175</v>
      </c>
      <c r="C118" s="77">
        <f>0</f>
        <v>0</v>
      </c>
      <c r="D118" s="78"/>
      <c r="E118" s="78"/>
      <c r="F118" s="78"/>
      <c r="G118" s="78"/>
      <c r="H118" s="78"/>
      <c r="I118" s="78"/>
      <c r="J118" s="78"/>
      <c r="K118" s="77">
        <f>D118+E118+F118+G118+H118+I118+J118</f>
        <v>0</v>
      </c>
      <c r="L118" s="77">
        <f t="shared" si="44"/>
        <v>0</v>
      </c>
      <c r="S118" s="77">
        <f>0</f>
        <v>0</v>
      </c>
      <c r="T118" s="77"/>
      <c r="U118" s="73"/>
      <c r="V118" s="73"/>
      <c r="W118" s="73"/>
      <c r="X118" s="73"/>
      <c r="Y118" s="73"/>
      <c r="Z118" s="73"/>
      <c r="AA118" s="77">
        <f>T118+U118+V118+W118+X118+Y118+Z118</f>
        <v>0</v>
      </c>
      <c r="AB118" s="77">
        <f t="shared" si="52"/>
        <v>0</v>
      </c>
    </row>
    <row r="119" spans="1:28" ht="16.5">
      <c r="A119" s="59"/>
      <c r="B119" s="92" t="s">
        <v>282</v>
      </c>
      <c r="C119" s="77">
        <v>0</v>
      </c>
      <c r="D119" s="78"/>
      <c r="E119" s="78"/>
      <c r="F119" s="78"/>
      <c r="G119" s="78"/>
      <c r="H119" s="78"/>
      <c r="I119" s="78"/>
      <c r="J119" s="78"/>
      <c r="K119" s="77">
        <f>D119+E119+F119+G119+H119+I119+J119</f>
        <v>0</v>
      </c>
      <c r="L119" s="77">
        <f t="shared" si="44"/>
        <v>0</v>
      </c>
      <c r="S119" s="77">
        <f>30</f>
        <v>30</v>
      </c>
      <c r="T119" s="77"/>
      <c r="U119" s="73"/>
      <c r="V119" s="73"/>
      <c r="W119" s="73"/>
      <c r="X119" s="73"/>
      <c r="Y119" s="73"/>
      <c r="Z119" s="73"/>
      <c r="AA119" s="77">
        <f>T119+U119+V119+W119+X119+Y119+Z119</f>
        <v>0</v>
      </c>
      <c r="AB119" s="77">
        <f t="shared" si="52"/>
        <v>30</v>
      </c>
    </row>
    <row r="120" spans="1:28" ht="16.5">
      <c r="A120" s="59" t="s">
        <v>176</v>
      </c>
      <c r="B120" s="63" t="s">
        <v>13</v>
      </c>
      <c r="C120" s="77">
        <v>4121.4</v>
      </c>
      <c r="D120" s="78"/>
      <c r="E120" s="78"/>
      <c r="F120" s="78"/>
      <c r="G120" s="78"/>
      <c r="H120" s="78"/>
      <c r="I120" s="78"/>
      <c r="J120" s="78"/>
      <c r="K120" s="77">
        <f>D120+E120+F120+G120+H120+I120+J120</f>
        <v>0</v>
      </c>
      <c r="L120" s="77">
        <f t="shared" si="44"/>
        <v>4121.4</v>
      </c>
      <c r="S120" s="77">
        <f>3927.4</f>
        <v>3927.4</v>
      </c>
      <c r="T120" s="77"/>
      <c r="U120" s="73"/>
      <c r="V120" s="73"/>
      <c r="W120" s="73"/>
      <c r="X120" s="73"/>
      <c r="Y120" s="73"/>
      <c r="Z120" s="73"/>
      <c r="AA120" s="77">
        <f>T120+U120+V120+W120+X120+Y120+Z120</f>
        <v>0</v>
      </c>
      <c r="AB120" s="77">
        <f t="shared" si="52"/>
        <v>3927.4</v>
      </c>
    </row>
    <row r="121" spans="1:28" s="1" customFormat="1" ht="16.5">
      <c r="A121" s="228" t="s">
        <v>177</v>
      </c>
      <c r="B121" s="229" t="s">
        <v>178</v>
      </c>
      <c r="C121" s="85">
        <f>C122+C126</f>
        <v>580</v>
      </c>
      <c r="D121" s="232">
        <f>D122+D126</f>
        <v>26483</v>
      </c>
      <c r="E121" s="232">
        <f aca="true" t="shared" si="59" ref="E121:J121">E122+E126</f>
        <v>0</v>
      </c>
      <c r="F121" s="232">
        <f t="shared" si="59"/>
        <v>0</v>
      </c>
      <c r="G121" s="232">
        <f t="shared" si="59"/>
        <v>0</v>
      </c>
      <c r="H121" s="232">
        <f t="shared" si="59"/>
        <v>0</v>
      </c>
      <c r="I121" s="232">
        <f t="shared" si="59"/>
        <v>0</v>
      </c>
      <c r="J121" s="232">
        <f t="shared" si="59"/>
        <v>0</v>
      </c>
      <c r="K121" s="85">
        <f>K122+K126</f>
        <v>25747.4</v>
      </c>
      <c r="L121" s="85">
        <f>C121+K121</f>
        <v>26327.4</v>
      </c>
      <c r="M121" s="134"/>
      <c r="N121" s="134"/>
      <c r="O121" s="134"/>
      <c r="P121" s="134"/>
      <c r="Q121" s="134"/>
      <c r="R121" s="233"/>
      <c r="S121" s="85">
        <f>S122+S126</f>
        <v>696</v>
      </c>
      <c r="T121" s="85">
        <f>T122+T126</f>
        <v>28142.7</v>
      </c>
      <c r="U121" s="85">
        <f aca="true" t="shared" si="60" ref="U121:Z121">U122+U126</f>
        <v>0</v>
      </c>
      <c r="V121" s="85">
        <f t="shared" si="60"/>
        <v>0</v>
      </c>
      <c r="W121" s="85">
        <f t="shared" si="60"/>
        <v>0</v>
      </c>
      <c r="X121" s="85">
        <f t="shared" si="60"/>
        <v>0</v>
      </c>
      <c r="Y121" s="85">
        <f t="shared" si="60"/>
        <v>0</v>
      </c>
      <c r="Z121" s="85">
        <f t="shared" si="60"/>
        <v>0</v>
      </c>
      <c r="AA121" s="85">
        <f>AA122+AA126</f>
        <v>28142.7</v>
      </c>
      <c r="AB121" s="85">
        <f t="shared" si="52"/>
        <v>28838.7</v>
      </c>
    </row>
    <row r="122" spans="1:28" ht="16.5">
      <c r="A122" s="59" t="s">
        <v>179</v>
      </c>
      <c r="B122" s="63" t="s">
        <v>382</v>
      </c>
      <c r="C122" s="77">
        <f>C123+C124+C125</f>
        <v>0</v>
      </c>
      <c r="D122" s="78">
        <f>D124</f>
        <v>26483</v>
      </c>
      <c r="E122" s="78"/>
      <c r="F122" s="78"/>
      <c r="G122" s="78"/>
      <c r="H122" s="78"/>
      <c r="I122" s="78"/>
      <c r="J122" s="78"/>
      <c r="K122" s="77">
        <f>K123+K124</f>
        <v>25747.4</v>
      </c>
      <c r="L122" s="77">
        <f t="shared" si="44"/>
        <v>25747.4</v>
      </c>
      <c r="S122" s="77">
        <f>S123+S124+S125</f>
        <v>0</v>
      </c>
      <c r="T122" s="77">
        <f>T124</f>
        <v>28142.7</v>
      </c>
      <c r="U122" s="73"/>
      <c r="V122" s="73"/>
      <c r="W122" s="73"/>
      <c r="X122" s="73"/>
      <c r="Y122" s="73"/>
      <c r="Z122" s="73"/>
      <c r="AA122" s="77">
        <f>AA123+AA124</f>
        <v>28142.7</v>
      </c>
      <c r="AB122" s="77">
        <f t="shared" si="52"/>
        <v>28142.7</v>
      </c>
    </row>
    <row r="123" spans="1:28" ht="16.5" hidden="1">
      <c r="A123" s="59"/>
      <c r="B123" s="63" t="s">
        <v>181</v>
      </c>
      <c r="C123" s="77">
        <f>0</f>
        <v>0</v>
      </c>
      <c r="D123" s="78"/>
      <c r="E123" s="78"/>
      <c r="F123" s="78"/>
      <c r="G123" s="78"/>
      <c r="H123" s="78"/>
      <c r="I123" s="78"/>
      <c r="J123" s="78"/>
      <c r="K123" s="77"/>
      <c r="L123" s="77"/>
      <c r="M123" s="3">
        <f>1900</f>
        <v>1900</v>
      </c>
      <c r="N123" s="3" t="s">
        <v>270</v>
      </c>
      <c r="S123" s="77">
        <f>0</f>
        <v>0</v>
      </c>
      <c r="T123" s="77"/>
      <c r="U123" s="73"/>
      <c r="V123" s="73"/>
      <c r="W123" s="73"/>
      <c r="X123" s="73"/>
      <c r="Y123" s="73"/>
      <c r="Z123" s="73"/>
      <c r="AA123" s="77"/>
      <c r="AB123" s="77"/>
    </row>
    <row r="124" spans="1:28" ht="16.5">
      <c r="A124" s="59"/>
      <c r="B124" s="63" t="s">
        <v>284</v>
      </c>
      <c r="C124" s="77"/>
      <c r="D124" s="78">
        <v>26483</v>
      </c>
      <c r="E124" s="78"/>
      <c r="F124" s="78"/>
      <c r="G124" s="78"/>
      <c r="H124" s="78"/>
      <c r="I124" s="78"/>
      <c r="J124" s="78"/>
      <c r="K124" s="77">
        <v>25747.4</v>
      </c>
      <c r="L124" s="77">
        <f t="shared" si="44"/>
        <v>25747.4</v>
      </c>
      <c r="M124" s="3">
        <v>1100</v>
      </c>
      <c r="N124" s="3" t="s">
        <v>285</v>
      </c>
      <c r="S124" s="77"/>
      <c r="T124" s="77">
        <f>28142.7</f>
        <v>28142.7</v>
      </c>
      <c r="U124" s="73"/>
      <c r="V124" s="73"/>
      <c r="W124" s="73"/>
      <c r="X124" s="73"/>
      <c r="Y124" s="73"/>
      <c r="Z124" s="73"/>
      <c r="AA124" s="77">
        <f>T124+U124+V124+W124+X124+Y124+Z124</f>
        <v>28142.7</v>
      </c>
      <c r="AB124" s="77">
        <f aca="true" t="shared" si="61" ref="AB124:AB132">S124+AA124</f>
        <v>28142.7</v>
      </c>
    </row>
    <row r="125" spans="1:28" ht="16.5">
      <c r="A125" s="59"/>
      <c r="B125" s="63" t="s">
        <v>181</v>
      </c>
      <c r="C125" s="77">
        <f>0</f>
        <v>0</v>
      </c>
      <c r="D125" s="78">
        <f>3762.4+5</f>
        <v>3767.4</v>
      </c>
      <c r="E125" s="78"/>
      <c r="F125" s="78"/>
      <c r="G125" s="78"/>
      <c r="H125" s="78"/>
      <c r="I125" s="78"/>
      <c r="J125" s="78"/>
      <c r="K125" s="77">
        <f>D125+E125+F125+G125+H125+I125+J125</f>
        <v>3767.4</v>
      </c>
      <c r="L125" s="77">
        <f t="shared" si="44"/>
        <v>3767.4</v>
      </c>
      <c r="S125" s="77">
        <f>0</f>
        <v>0</v>
      </c>
      <c r="T125" s="77">
        <f>3259.7</f>
        <v>3259.7</v>
      </c>
      <c r="U125" s="73"/>
      <c r="V125" s="73"/>
      <c r="W125" s="73"/>
      <c r="X125" s="73"/>
      <c r="Y125" s="73"/>
      <c r="Z125" s="73"/>
      <c r="AA125" s="77">
        <f>T125+U125+V125+W125+X125+Y125+Z125</f>
        <v>3259.7</v>
      </c>
      <c r="AB125" s="77">
        <f t="shared" si="61"/>
        <v>3259.7</v>
      </c>
    </row>
    <row r="126" spans="1:28" ht="33">
      <c r="A126" s="59" t="s">
        <v>183</v>
      </c>
      <c r="B126" s="63" t="s">
        <v>184</v>
      </c>
      <c r="C126" s="77">
        <f>C127+C128</f>
        <v>580</v>
      </c>
      <c r="D126" s="78">
        <f aca="true" t="shared" si="62" ref="D126:J126">D127+D128</f>
        <v>0</v>
      </c>
      <c r="E126" s="78">
        <f t="shared" si="62"/>
        <v>0</v>
      </c>
      <c r="F126" s="78">
        <f t="shared" si="62"/>
        <v>0</v>
      </c>
      <c r="G126" s="78">
        <f t="shared" si="62"/>
        <v>0</v>
      </c>
      <c r="H126" s="78">
        <f t="shared" si="62"/>
        <v>0</v>
      </c>
      <c r="I126" s="78">
        <f t="shared" si="62"/>
        <v>0</v>
      </c>
      <c r="J126" s="78">
        <f t="shared" si="62"/>
        <v>0</v>
      </c>
      <c r="K126" s="77">
        <f>D126+E126+F126+G126+H126+I126+J126</f>
        <v>0</v>
      </c>
      <c r="L126" s="77">
        <f t="shared" si="44"/>
        <v>580</v>
      </c>
      <c r="S126" s="77">
        <f>S127+S128</f>
        <v>696</v>
      </c>
      <c r="T126" s="77">
        <f aca="true" t="shared" si="63" ref="T126:Z126">T127+T128</f>
        <v>0</v>
      </c>
      <c r="U126" s="73">
        <f t="shared" si="63"/>
        <v>0</v>
      </c>
      <c r="V126" s="73">
        <f t="shared" si="63"/>
        <v>0</v>
      </c>
      <c r="W126" s="73">
        <f t="shared" si="63"/>
        <v>0</v>
      </c>
      <c r="X126" s="73">
        <f t="shared" si="63"/>
        <v>0</v>
      </c>
      <c r="Y126" s="73">
        <f t="shared" si="63"/>
        <v>0</v>
      </c>
      <c r="Z126" s="73">
        <f t="shared" si="63"/>
        <v>0</v>
      </c>
      <c r="AA126" s="77">
        <f>T126+U126+V126+W126+X126+Y126+Z126</f>
        <v>0</v>
      </c>
      <c r="AB126" s="77">
        <f t="shared" si="61"/>
        <v>696</v>
      </c>
    </row>
    <row r="127" spans="1:28" ht="14.25" customHeight="1">
      <c r="A127" s="59"/>
      <c r="B127" s="63" t="s">
        <v>147</v>
      </c>
      <c r="C127" s="77">
        <v>580</v>
      </c>
      <c r="D127" s="78"/>
      <c r="E127" s="78"/>
      <c r="F127" s="78"/>
      <c r="G127" s="78"/>
      <c r="H127" s="78"/>
      <c r="I127" s="78"/>
      <c r="J127" s="78"/>
      <c r="K127" s="77">
        <f>D127+E127+F127+G127+H127+I127+J127</f>
        <v>0</v>
      </c>
      <c r="L127" s="77">
        <f t="shared" si="44"/>
        <v>580</v>
      </c>
      <c r="S127" s="77">
        <f>696</f>
        <v>696</v>
      </c>
      <c r="T127" s="77"/>
      <c r="U127" s="73"/>
      <c r="V127" s="73"/>
      <c r="W127" s="73"/>
      <c r="X127" s="73"/>
      <c r="Y127" s="73"/>
      <c r="Z127" s="73"/>
      <c r="AA127" s="77">
        <f>T127+U127+V127+W127+X127+Y127+Z127</f>
        <v>0</v>
      </c>
      <c r="AB127" s="77">
        <f t="shared" si="61"/>
        <v>696</v>
      </c>
    </row>
    <row r="128" spans="1:28" ht="16.5">
      <c r="A128" s="59"/>
      <c r="B128" s="63" t="s">
        <v>100</v>
      </c>
      <c r="C128" s="77">
        <v>0</v>
      </c>
      <c r="D128" s="78"/>
      <c r="E128" s="78"/>
      <c r="F128" s="78"/>
      <c r="G128" s="78"/>
      <c r="H128" s="78"/>
      <c r="I128" s="78"/>
      <c r="J128" s="78"/>
      <c r="K128" s="77">
        <v>0</v>
      </c>
      <c r="L128" s="77">
        <f t="shared" si="44"/>
        <v>0</v>
      </c>
      <c r="S128" s="77">
        <v>0</v>
      </c>
      <c r="T128" s="77"/>
      <c r="U128" s="73"/>
      <c r="V128" s="73"/>
      <c r="W128" s="73"/>
      <c r="X128" s="73"/>
      <c r="Y128" s="73"/>
      <c r="Z128" s="73"/>
      <c r="AA128" s="77">
        <v>0</v>
      </c>
      <c r="AB128" s="77">
        <f t="shared" si="61"/>
        <v>0</v>
      </c>
    </row>
    <row r="129" spans="1:28" s="1" customFormat="1" ht="16.5">
      <c r="A129" s="228" t="s">
        <v>185</v>
      </c>
      <c r="B129" s="229" t="s">
        <v>186</v>
      </c>
      <c r="C129" s="85">
        <f>C130</f>
        <v>250</v>
      </c>
      <c r="D129" s="232">
        <f aca="true" t="shared" si="64" ref="D129:J129">D130</f>
        <v>50</v>
      </c>
      <c r="E129" s="232">
        <f t="shared" si="64"/>
        <v>0</v>
      </c>
      <c r="F129" s="232">
        <f t="shared" si="64"/>
        <v>0</v>
      </c>
      <c r="G129" s="232">
        <f t="shared" si="64"/>
        <v>0</v>
      </c>
      <c r="H129" s="232">
        <f t="shared" si="64"/>
        <v>0</v>
      </c>
      <c r="I129" s="232">
        <f t="shared" si="64"/>
        <v>0</v>
      </c>
      <c r="J129" s="232">
        <f t="shared" si="64"/>
        <v>0</v>
      </c>
      <c r="K129" s="85">
        <f>K130</f>
        <v>80</v>
      </c>
      <c r="L129" s="85">
        <f t="shared" si="44"/>
        <v>330</v>
      </c>
      <c r="M129" s="134"/>
      <c r="N129" s="134"/>
      <c r="O129" s="134"/>
      <c r="P129" s="134"/>
      <c r="Q129" s="134"/>
      <c r="R129" s="233"/>
      <c r="S129" s="85">
        <f>S130</f>
        <v>370</v>
      </c>
      <c r="T129" s="85">
        <f aca="true" t="shared" si="65" ref="T129:Z129">T130</f>
        <v>90</v>
      </c>
      <c r="U129" s="85">
        <f t="shared" si="65"/>
        <v>0</v>
      </c>
      <c r="V129" s="85">
        <f t="shared" si="65"/>
        <v>0</v>
      </c>
      <c r="W129" s="85">
        <f t="shared" si="65"/>
        <v>0</v>
      </c>
      <c r="X129" s="85">
        <f t="shared" si="65"/>
        <v>0</v>
      </c>
      <c r="Y129" s="85">
        <f t="shared" si="65"/>
        <v>0</v>
      </c>
      <c r="Z129" s="85">
        <f t="shared" si="65"/>
        <v>0</v>
      </c>
      <c r="AA129" s="85">
        <f>AA130</f>
        <v>90</v>
      </c>
      <c r="AB129" s="85">
        <f t="shared" si="61"/>
        <v>460</v>
      </c>
    </row>
    <row r="130" spans="1:28" ht="16.5">
      <c r="A130" s="59" t="s">
        <v>187</v>
      </c>
      <c r="B130" s="63" t="s">
        <v>9</v>
      </c>
      <c r="C130" s="77">
        <v>250</v>
      </c>
      <c r="D130" s="78">
        <v>50</v>
      </c>
      <c r="E130" s="78"/>
      <c r="F130" s="78"/>
      <c r="G130" s="78"/>
      <c r="H130" s="78"/>
      <c r="I130" s="78"/>
      <c r="J130" s="78"/>
      <c r="K130" s="77">
        <v>80</v>
      </c>
      <c r="L130" s="77">
        <f t="shared" si="44"/>
        <v>330</v>
      </c>
      <c r="S130" s="77">
        <f>370</f>
        <v>370</v>
      </c>
      <c r="T130" s="77">
        <f>90</f>
        <v>90</v>
      </c>
      <c r="U130" s="73"/>
      <c r="V130" s="73"/>
      <c r="W130" s="73"/>
      <c r="X130" s="73"/>
      <c r="Y130" s="73"/>
      <c r="Z130" s="73"/>
      <c r="AA130" s="77">
        <f>T130+U130+V130+W130+X130+Y130+Z130</f>
        <v>90</v>
      </c>
      <c r="AB130" s="77">
        <f t="shared" si="61"/>
        <v>460</v>
      </c>
    </row>
    <row r="131" spans="1:28" s="1" customFormat="1" ht="43.5" customHeight="1">
      <c r="A131" s="228" t="s">
        <v>188</v>
      </c>
      <c r="B131" s="229" t="s">
        <v>189</v>
      </c>
      <c r="C131" s="85">
        <f>C132</f>
        <v>1000</v>
      </c>
      <c r="D131" s="232">
        <f aca="true" t="shared" si="66" ref="D131:J131">D132</f>
        <v>0</v>
      </c>
      <c r="E131" s="232">
        <f t="shared" si="66"/>
        <v>0</v>
      </c>
      <c r="F131" s="232">
        <f t="shared" si="66"/>
        <v>0</v>
      </c>
      <c r="G131" s="232">
        <f t="shared" si="66"/>
        <v>0</v>
      </c>
      <c r="H131" s="232">
        <f t="shared" si="66"/>
        <v>0</v>
      </c>
      <c r="I131" s="232">
        <f t="shared" si="66"/>
        <v>0</v>
      </c>
      <c r="J131" s="232">
        <f t="shared" si="66"/>
        <v>0</v>
      </c>
      <c r="K131" s="85">
        <f>K132</f>
        <v>0</v>
      </c>
      <c r="L131" s="85">
        <f t="shared" si="44"/>
        <v>1000</v>
      </c>
      <c r="M131" s="134"/>
      <c r="N131" s="134"/>
      <c r="O131" s="134"/>
      <c r="P131" s="134"/>
      <c r="Q131" s="134"/>
      <c r="R131" s="233"/>
      <c r="S131" s="85">
        <f>S132</f>
        <v>600</v>
      </c>
      <c r="T131" s="85">
        <f aca="true" t="shared" si="67" ref="T131:Z131">T132</f>
        <v>0</v>
      </c>
      <c r="U131" s="85">
        <f t="shared" si="67"/>
        <v>0</v>
      </c>
      <c r="V131" s="85">
        <f t="shared" si="67"/>
        <v>0</v>
      </c>
      <c r="W131" s="85">
        <f t="shared" si="67"/>
        <v>0</v>
      </c>
      <c r="X131" s="85">
        <f t="shared" si="67"/>
        <v>0</v>
      </c>
      <c r="Y131" s="85">
        <f t="shared" si="67"/>
        <v>0</v>
      </c>
      <c r="Z131" s="85">
        <f t="shared" si="67"/>
        <v>0</v>
      </c>
      <c r="AA131" s="85">
        <f>AA132</f>
        <v>0</v>
      </c>
      <c r="AB131" s="85">
        <f t="shared" si="61"/>
        <v>600</v>
      </c>
    </row>
    <row r="132" spans="1:28" ht="25.5" customHeight="1">
      <c r="A132" s="59" t="s">
        <v>190</v>
      </c>
      <c r="B132" s="63" t="s">
        <v>8</v>
      </c>
      <c r="C132" s="77">
        <v>1000</v>
      </c>
      <c r="D132" s="78"/>
      <c r="E132" s="78"/>
      <c r="F132" s="78"/>
      <c r="G132" s="78"/>
      <c r="H132" s="78"/>
      <c r="I132" s="78"/>
      <c r="J132" s="78"/>
      <c r="K132" s="77">
        <f>D132+E132+F132+G132+H132+I132+J132</f>
        <v>0</v>
      </c>
      <c r="L132" s="77">
        <f t="shared" si="44"/>
        <v>1000</v>
      </c>
      <c r="S132" s="77">
        <f>600</f>
        <v>600</v>
      </c>
      <c r="T132" s="77"/>
      <c r="U132" s="73"/>
      <c r="V132" s="73"/>
      <c r="W132" s="73"/>
      <c r="X132" s="73"/>
      <c r="Y132" s="73"/>
      <c r="Z132" s="73"/>
      <c r="AA132" s="77">
        <f>T132+U132+V132+W132+X132+Y132+Z132</f>
        <v>0</v>
      </c>
      <c r="AB132" s="77">
        <f t="shared" si="61"/>
        <v>600</v>
      </c>
    </row>
    <row r="133" spans="1:28" s="27" customFormat="1" ht="63">
      <c r="A133" s="56" t="s">
        <v>191</v>
      </c>
      <c r="B133" s="93" t="s">
        <v>369</v>
      </c>
      <c r="C133" s="85">
        <f>C134+C137</f>
        <v>5130.9</v>
      </c>
      <c r="D133" s="85">
        <f aca="true" t="shared" si="68" ref="D133:K133">D134+D137</f>
        <v>0</v>
      </c>
      <c r="E133" s="85">
        <f t="shared" si="68"/>
        <v>0</v>
      </c>
      <c r="F133" s="85">
        <f t="shared" si="68"/>
        <v>0</v>
      </c>
      <c r="G133" s="85">
        <f t="shared" si="68"/>
        <v>0</v>
      </c>
      <c r="H133" s="85">
        <f t="shared" si="68"/>
        <v>0</v>
      </c>
      <c r="I133" s="85">
        <f t="shared" si="68"/>
        <v>0</v>
      </c>
      <c r="J133" s="85">
        <f t="shared" si="68"/>
        <v>0</v>
      </c>
      <c r="K133" s="85">
        <f t="shared" si="68"/>
        <v>0</v>
      </c>
      <c r="L133" s="85">
        <v>0</v>
      </c>
      <c r="R133" s="94"/>
      <c r="S133" s="85">
        <f>S134+S137</f>
        <v>2475.8</v>
      </c>
      <c r="T133" s="85">
        <f aca="true" t="shared" si="69" ref="T133:AA133">T134+T137</f>
        <v>0</v>
      </c>
      <c r="U133" s="85">
        <f t="shared" si="69"/>
        <v>0</v>
      </c>
      <c r="V133" s="85">
        <f t="shared" si="69"/>
        <v>0</v>
      </c>
      <c r="W133" s="85">
        <f t="shared" si="69"/>
        <v>0</v>
      </c>
      <c r="X133" s="85">
        <f t="shared" si="69"/>
        <v>0</v>
      </c>
      <c r="Y133" s="85">
        <f t="shared" si="69"/>
        <v>0</v>
      </c>
      <c r="Z133" s="85">
        <f t="shared" si="69"/>
        <v>0</v>
      </c>
      <c r="AA133" s="85">
        <f t="shared" si="69"/>
        <v>0</v>
      </c>
      <c r="AB133" s="85">
        <v>0</v>
      </c>
    </row>
    <row r="134" spans="1:28" ht="22.5" customHeight="1">
      <c r="A134" s="59" t="s">
        <v>193</v>
      </c>
      <c r="B134" s="63" t="s">
        <v>286</v>
      </c>
      <c r="C134" s="89">
        <f>C135+C136</f>
        <v>4101.7</v>
      </c>
      <c r="D134" s="78"/>
      <c r="E134" s="78"/>
      <c r="F134" s="78"/>
      <c r="G134" s="78"/>
      <c r="H134" s="78"/>
      <c r="I134" s="78"/>
      <c r="J134" s="78"/>
      <c r="K134" s="77">
        <f>D134+E134+F134+G134+H134+I134+J134</f>
        <v>0</v>
      </c>
      <c r="L134" s="89">
        <f t="shared" si="44"/>
        <v>4101.7</v>
      </c>
      <c r="S134" s="77">
        <f>S135+S136</f>
        <v>2475.8</v>
      </c>
      <c r="T134" s="77"/>
      <c r="U134" s="73"/>
      <c r="V134" s="73"/>
      <c r="W134" s="73"/>
      <c r="X134" s="73"/>
      <c r="Y134" s="73"/>
      <c r="Z134" s="73"/>
      <c r="AA134" s="77">
        <f>T134+U134+V134+W134+X134+Y134+Z134</f>
        <v>0</v>
      </c>
      <c r="AB134" s="77">
        <f>S134+AA134</f>
        <v>2475.8</v>
      </c>
    </row>
    <row r="135" spans="1:28" ht="47.25" hidden="1">
      <c r="A135" s="59"/>
      <c r="B135" s="86" t="s">
        <v>195</v>
      </c>
      <c r="C135" s="89">
        <f>(1702.8-8.2-0-3.5+145.6-8.5-5.1)</f>
        <v>1823.1</v>
      </c>
      <c r="D135" s="78"/>
      <c r="E135" s="78"/>
      <c r="F135" s="78"/>
      <c r="G135" s="78"/>
      <c r="H135" s="78"/>
      <c r="I135" s="78"/>
      <c r="J135" s="78"/>
      <c r="K135" s="77">
        <f>D135+E135+F135+G135+H135+I135+J135</f>
        <v>0</v>
      </c>
      <c r="L135" s="89">
        <f t="shared" si="44"/>
        <v>1823.1</v>
      </c>
      <c r="S135" s="77">
        <f>0</f>
        <v>0</v>
      </c>
      <c r="T135" s="77"/>
      <c r="U135" s="73"/>
      <c r="V135" s="73"/>
      <c r="W135" s="73"/>
      <c r="X135" s="73"/>
      <c r="Y135" s="73"/>
      <c r="Z135" s="73"/>
      <c r="AA135" s="77">
        <f>T135+U135+V135+W135+X135+Y135+Z135</f>
        <v>0</v>
      </c>
      <c r="AB135" s="77">
        <f>S135+AA135</f>
        <v>0</v>
      </c>
    </row>
    <row r="136" spans="1:28" ht="47.25">
      <c r="A136" s="59"/>
      <c r="B136" s="86" t="s">
        <v>196</v>
      </c>
      <c r="C136" s="77">
        <v>2278.6</v>
      </c>
      <c r="D136" s="78"/>
      <c r="E136" s="78"/>
      <c r="F136" s="78"/>
      <c r="G136" s="78"/>
      <c r="H136" s="78"/>
      <c r="I136" s="78"/>
      <c r="J136" s="78"/>
      <c r="K136" s="77">
        <f>D136+E136+F136+G136+H136+I136+J136</f>
        <v>0</v>
      </c>
      <c r="L136" s="77">
        <f t="shared" si="44"/>
        <v>2278.6</v>
      </c>
      <c r="S136" s="77">
        <f>2475.8</f>
        <v>2475.8</v>
      </c>
      <c r="T136" s="77"/>
      <c r="U136" s="73"/>
      <c r="V136" s="73"/>
      <c r="W136" s="73"/>
      <c r="X136" s="73"/>
      <c r="Y136" s="73"/>
      <c r="Z136" s="73"/>
      <c r="AA136" s="77">
        <f>T136+U136+V136+W136+X136+Y136+Z136</f>
        <v>0</v>
      </c>
      <c r="AB136" s="77">
        <f>S136+AA136</f>
        <v>2475.8</v>
      </c>
    </row>
    <row r="137" spans="1:28" ht="16.5" hidden="1">
      <c r="A137" s="59" t="s">
        <v>197</v>
      </c>
      <c r="B137" s="63" t="s">
        <v>7</v>
      </c>
      <c r="C137" s="89">
        <f>(1192.5-8.7-154.6)</f>
        <v>1029.2</v>
      </c>
      <c r="D137" s="78"/>
      <c r="E137" s="78"/>
      <c r="F137" s="78"/>
      <c r="G137" s="78"/>
      <c r="H137" s="78"/>
      <c r="I137" s="78"/>
      <c r="J137" s="78"/>
      <c r="K137" s="77">
        <f>D137+E137+F137+G137+H137+I137+J137</f>
        <v>0</v>
      </c>
      <c r="L137" s="89">
        <f t="shared" si="44"/>
        <v>1029.2</v>
      </c>
      <c r="S137" s="77">
        <f>0</f>
        <v>0</v>
      </c>
      <c r="T137" s="77"/>
      <c r="U137" s="73"/>
      <c r="V137" s="73"/>
      <c r="W137" s="73"/>
      <c r="X137" s="73"/>
      <c r="Y137" s="73"/>
      <c r="Z137" s="73"/>
      <c r="AA137" s="77">
        <f>T137+U137+V137+W137+X137+Y137+Z137</f>
        <v>0</v>
      </c>
      <c r="AB137" s="77">
        <f>S137+AA137</f>
        <v>0</v>
      </c>
    </row>
    <row r="138" spans="1:28" s="1" customFormat="1" ht="32.25" customHeight="1">
      <c r="A138" s="137"/>
      <c r="B138" s="138" t="s">
        <v>198</v>
      </c>
      <c r="C138" s="238">
        <f aca="true" t="shared" si="70" ref="C138:K138">C7+C30+C32+C38+C49+C67+C69+C94+C105+C113+C121+C129+C131+C133</f>
        <v>614679.1</v>
      </c>
      <c r="D138" s="238">
        <f t="shared" si="70"/>
        <v>61848.1</v>
      </c>
      <c r="E138" s="238">
        <f t="shared" si="70"/>
        <v>2423.5</v>
      </c>
      <c r="F138" s="238">
        <f t="shared" si="70"/>
        <v>2811.6</v>
      </c>
      <c r="G138" s="238">
        <f t="shared" si="70"/>
        <v>1984.4</v>
      </c>
      <c r="H138" s="238">
        <f t="shared" si="70"/>
        <v>2792.2</v>
      </c>
      <c r="I138" s="238">
        <f t="shared" si="70"/>
        <v>2397.3</v>
      </c>
      <c r="J138" s="238">
        <f t="shared" si="70"/>
        <v>2879.4</v>
      </c>
      <c r="K138" s="238">
        <f t="shared" si="70"/>
        <v>85592.4</v>
      </c>
      <c r="L138" s="238">
        <f>L7+L30+L32+L38+L49+L67+L69+L94+L105+L113+L121+L129+L131+L133+5173.9+10574.5</f>
        <v>708198.3</v>
      </c>
      <c r="M138" s="134"/>
      <c r="N138" s="134"/>
      <c r="O138" s="134"/>
      <c r="P138" s="134"/>
      <c r="Q138" s="134"/>
      <c r="R138" s="233"/>
      <c r="S138" s="238">
        <f aca="true" t="shared" si="71" ref="S138:AA138">S7+S30+S32+S38+S49+S67+S69+S94+S105+S113+S121+S129+S131+S133</f>
        <v>680092.4000000001</v>
      </c>
      <c r="T138" s="238">
        <f t="shared" si="71"/>
        <v>76117.5</v>
      </c>
      <c r="U138" s="238">
        <f t="shared" si="71"/>
        <v>5434.2</v>
      </c>
      <c r="V138" s="238">
        <f t="shared" si="71"/>
        <v>4415</v>
      </c>
      <c r="W138" s="238">
        <f t="shared" si="71"/>
        <v>3003.2999999999997</v>
      </c>
      <c r="X138" s="238">
        <f t="shared" si="71"/>
        <v>5140.099999999999</v>
      </c>
      <c r="Y138" s="238">
        <f t="shared" si="71"/>
        <v>3274</v>
      </c>
      <c r="Z138" s="238">
        <f t="shared" si="71"/>
        <v>4085.2</v>
      </c>
      <c r="AA138" s="238">
        <f t="shared" si="71"/>
        <v>101469.3</v>
      </c>
      <c r="AB138" s="238">
        <f>AB7+AB30+AB32+AB38+AB49+AB67+AB69+AB94+AB105+AB113+AB121+AB129+AB131+AB133+AA15+AA56+S136</f>
        <v>768541.4</v>
      </c>
    </row>
    <row r="139" spans="1:28" ht="33">
      <c r="A139" s="59"/>
      <c r="B139" s="63" t="s">
        <v>287</v>
      </c>
      <c r="C139" s="77">
        <f>C30+C133</f>
        <v>5130.9</v>
      </c>
      <c r="D139" s="77">
        <f aca="true" t="shared" si="72" ref="D139:K139">D15+D29+D44+D56</f>
        <v>0</v>
      </c>
      <c r="E139" s="77">
        <f t="shared" si="72"/>
        <v>14.3</v>
      </c>
      <c r="F139" s="77">
        <f t="shared" si="72"/>
        <v>15.6</v>
      </c>
      <c r="G139" s="77">
        <f t="shared" si="72"/>
        <v>14</v>
      </c>
      <c r="H139" s="77">
        <f t="shared" si="72"/>
        <v>19.3</v>
      </c>
      <c r="I139" s="77">
        <f t="shared" si="72"/>
        <v>11.8</v>
      </c>
      <c r="J139" s="77">
        <f t="shared" si="72"/>
        <v>15.3</v>
      </c>
      <c r="K139" s="77">
        <f t="shared" si="72"/>
        <v>2690.7</v>
      </c>
      <c r="L139" s="77">
        <f>C139+K139</f>
        <v>7821.599999999999</v>
      </c>
      <c r="R139" s="79">
        <f>L138-L139</f>
        <v>700376.7000000001</v>
      </c>
      <c r="S139" s="77">
        <f>S30+S133</f>
        <v>2475.8</v>
      </c>
      <c r="T139" s="77">
        <f aca="true" t="shared" si="73" ref="T139:Z139">T15+T29+T44+T56</f>
        <v>0</v>
      </c>
      <c r="U139" s="77">
        <f t="shared" si="73"/>
        <v>1635</v>
      </c>
      <c r="V139" s="77">
        <f t="shared" si="73"/>
        <v>1235</v>
      </c>
      <c r="W139" s="77">
        <f t="shared" si="73"/>
        <v>1225</v>
      </c>
      <c r="X139" s="77">
        <f t="shared" si="73"/>
        <v>1338</v>
      </c>
      <c r="Y139" s="77">
        <f t="shared" si="73"/>
        <v>428</v>
      </c>
      <c r="Z139" s="77">
        <f t="shared" si="73"/>
        <v>1030</v>
      </c>
      <c r="AA139" s="77">
        <f>AA15+AA29+AA44+AA56</f>
        <v>6891</v>
      </c>
      <c r="AB139" s="77">
        <f>S139+AA139</f>
        <v>9366.8</v>
      </c>
    </row>
    <row r="140" spans="1:28" s="1" customFormat="1" ht="37.5">
      <c r="A140" s="56"/>
      <c r="B140" s="13" t="s">
        <v>200</v>
      </c>
      <c r="C140" s="95">
        <f>C138-C139</f>
        <v>609548.2</v>
      </c>
      <c r="D140" s="95">
        <f aca="true" t="shared" si="74" ref="D140:J140">D138-D139</f>
        <v>61848.1</v>
      </c>
      <c r="E140" s="95">
        <f t="shared" si="74"/>
        <v>2409.2</v>
      </c>
      <c r="F140" s="95">
        <f t="shared" si="74"/>
        <v>2796</v>
      </c>
      <c r="G140" s="95">
        <f t="shared" si="74"/>
        <v>1970.4</v>
      </c>
      <c r="H140" s="95">
        <f t="shared" si="74"/>
        <v>2772.8999999999996</v>
      </c>
      <c r="I140" s="95">
        <f t="shared" si="74"/>
        <v>2385.5</v>
      </c>
      <c r="J140" s="95">
        <f t="shared" si="74"/>
        <v>2864.1</v>
      </c>
      <c r="K140" s="95">
        <f>K138-K139</f>
        <v>82901.7</v>
      </c>
      <c r="L140" s="95">
        <f>C140+K140</f>
        <v>692449.8999999999</v>
      </c>
      <c r="R140" s="87"/>
      <c r="S140" s="95">
        <f>S138-S139</f>
        <v>677616.6000000001</v>
      </c>
      <c r="T140" s="95">
        <f aca="true" t="shared" si="75" ref="T140:Z140">T138-T139</f>
        <v>76117.5</v>
      </c>
      <c r="U140" s="95">
        <f t="shared" si="75"/>
        <v>3799.2</v>
      </c>
      <c r="V140" s="95">
        <f t="shared" si="75"/>
        <v>3180</v>
      </c>
      <c r="W140" s="95">
        <f t="shared" si="75"/>
        <v>1778.2999999999997</v>
      </c>
      <c r="X140" s="95">
        <f t="shared" si="75"/>
        <v>3802.0999999999995</v>
      </c>
      <c r="Y140" s="95">
        <f t="shared" si="75"/>
        <v>2846</v>
      </c>
      <c r="Z140" s="95">
        <f t="shared" si="75"/>
        <v>3055.2</v>
      </c>
      <c r="AA140" s="95">
        <f>AA138-AA139</f>
        <v>94578.3</v>
      </c>
      <c r="AB140" s="95">
        <f>S140+AA140</f>
        <v>772194.9000000001</v>
      </c>
    </row>
    <row r="141" spans="1:28" s="134" customFormat="1" ht="45.75" customHeight="1">
      <c r="A141" s="228"/>
      <c r="B141" s="229" t="s">
        <v>201</v>
      </c>
      <c r="C141" s="85">
        <f>0</f>
        <v>0</v>
      </c>
      <c r="D141" s="105">
        <v>0</v>
      </c>
      <c r="E141" s="105">
        <v>0</v>
      </c>
      <c r="F141" s="105">
        <v>0</v>
      </c>
      <c r="G141" s="105">
        <v>0</v>
      </c>
      <c r="H141" s="105">
        <v>0</v>
      </c>
      <c r="I141" s="105">
        <v>0</v>
      </c>
      <c r="J141" s="105">
        <v>0</v>
      </c>
      <c r="K141" s="85">
        <v>0</v>
      </c>
      <c r="L141" s="85">
        <f>0</f>
        <v>0</v>
      </c>
      <c r="R141" s="233"/>
      <c r="S141" s="85">
        <f>4500</f>
        <v>4500</v>
      </c>
      <c r="T141" s="85">
        <v>0</v>
      </c>
      <c r="U141" s="85">
        <v>0</v>
      </c>
      <c r="V141" s="85">
        <v>0</v>
      </c>
      <c r="W141" s="85">
        <v>0</v>
      </c>
      <c r="X141" s="85">
        <v>0</v>
      </c>
      <c r="Y141" s="85">
        <v>0</v>
      </c>
      <c r="Z141" s="85">
        <v>0</v>
      </c>
      <c r="AA141" s="85">
        <v>0</v>
      </c>
      <c r="AB141" s="85">
        <v>8000</v>
      </c>
    </row>
    <row r="142" spans="1:28" s="134" customFormat="1" ht="53.25" customHeight="1">
      <c r="A142" s="228"/>
      <c r="B142" s="229" t="s">
        <v>202</v>
      </c>
      <c r="C142" s="85">
        <f>C143+C144+C145+C146+C147</f>
        <v>0</v>
      </c>
      <c r="D142" s="105"/>
      <c r="E142" s="105"/>
      <c r="F142" s="105"/>
      <c r="G142" s="105"/>
      <c r="H142" s="105"/>
      <c r="I142" s="105"/>
      <c r="J142" s="105"/>
      <c r="K142" s="85">
        <f>K143+K144</f>
        <v>0</v>
      </c>
      <c r="L142" s="85">
        <f t="shared" si="44"/>
        <v>0</v>
      </c>
      <c r="R142" s="234"/>
      <c r="S142" s="85">
        <f>S143+S144+S145+S146+S147</f>
        <v>-4500</v>
      </c>
      <c r="T142" s="85"/>
      <c r="U142" s="85"/>
      <c r="V142" s="85"/>
      <c r="W142" s="85"/>
      <c r="X142" s="85"/>
      <c r="Y142" s="85"/>
      <c r="Z142" s="85"/>
      <c r="AA142" s="85">
        <f>AA143+AA144</f>
        <v>0</v>
      </c>
      <c r="AB142" s="85">
        <f aca="true" t="shared" si="76" ref="AB142:AB147">S142+AA142</f>
        <v>-4500</v>
      </c>
    </row>
    <row r="143" spans="1:28" ht="44.25" customHeight="1">
      <c r="A143" s="67"/>
      <c r="B143" s="86" t="s">
        <v>203</v>
      </c>
      <c r="C143" s="77">
        <v>15500</v>
      </c>
      <c r="D143" s="96"/>
      <c r="E143" s="96"/>
      <c r="F143" s="96"/>
      <c r="G143" s="96"/>
      <c r="H143" s="96"/>
      <c r="I143" s="96"/>
      <c r="J143" s="96"/>
      <c r="K143" s="77">
        <f>0</f>
        <v>0</v>
      </c>
      <c r="L143" s="77">
        <f t="shared" si="44"/>
        <v>15500</v>
      </c>
      <c r="S143" s="77">
        <f>0</f>
        <v>0</v>
      </c>
      <c r="T143" s="77"/>
      <c r="U143" s="77"/>
      <c r="V143" s="77"/>
      <c r="W143" s="77"/>
      <c r="X143" s="77"/>
      <c r="Y143" s="77"/>
      <c r="Z143" s="77"/>
      <c r="AA143" s="77">
        <f>0</f>
        <v>0</v>
      </c>
      <c r="AB143" s="77">
        <f t="shared" si="76"/>
        <v>0</v>
      </c>
    </row>
    <row r="144" spans="1:28" ht="44.25" customHeight="1">
      <c r="A144" s="59"/>
      <c r="B144" s="97" t="s">
        <v>204</v>
      </c>
      <c r="C144" s="77">
        <v>-8000</v>
      </c>
      <c r="D144" s="96"/>
      <c r="E144" s="96"/>
      <c r="F144" s="96"/>
      <c r="G144" s="96"/>
      <c r="H144" s="96"/>
      <c r="I144" s="96"/>
      <c r="J144" s="96"/>
      <c r="K144" s="77">
        <f>0</f>
        <v>0</v>
      </c>
      <c r="L144" s="77">
        <f t="shared" si="44"/>
        <v>-8000</v>
      </c>
      <c r="S144" s="77">
        <f>-4500</f>
        <v>-4500</v>
      </c>
      <c r="T144" s="77"/>
      <c r="U144" s="77"/>
      <c r="V144" s="77"/>
      <c r="W144" s="77"/>
      <c r="X144" s="77"/>
      <c r="Y144" s="77"/>
      <c r="Z144" s="77"/>
      <c r="AA144" s="77">
        <f>0</f>
        <v>0</v>
      </c>
      <c r="AB144" s="77">
        <f t="shared" si="76"/>
        <v>-4500</v>
      </c>
    </row>
    <row r="145" spans="1:28" ht="63">
      <c r="A145" s="59"/>
      <c r="B145" s="97" t="s">
        <v>12</v>
      </c>
      <c r="C145" s="77">
        <v>0</v>
      </c>
      <c r="D145" s="96"/>
      <c r="E145" s="96"/>
      <c r="F145" s="96"/>
      <c r="G145" s="96"/>
      <c r="H145" s="96"/>
      <c r="I145" s="96"/>
      <c r="J145" s="96"/>
      <c r="K145" s="77">
        <v>0</v>
      </c>
      <c r="L145" s="77">
        <f t="shared" si="44"/>
        <v>0</v>
      </c>
      <c r="S145" s="77">
        <v>0</v>
      </c>
      <c r="T145" s="77"/>
      <c r="U145" s="77"/>
      <c r="V145" s="77"/>
      <c r="W145" s="77"/>
      <c r="X145" s="77"/>
      <c r="Y145" s="77"/>
      <c r="Z145" s="77"/>
      <c r="AA145" s="77">
        <v>0</v>
      </c>
      <c r="AB145" s="77">
        <f t="shared" si="76"/>
        <v>0</v>
      </c>
    </row>
    <row r="146" spans="1:28" ht="63">
      <c r="A146" s="59"/>
      <c r="B146" s="97" t="s">
        <v>5</v>
      </c>
      <c r="C146" s="77">
        <v>-7500</v>
      </c>
      <c r="D146" s="96"/>
      <c r="E146" s="96"/>
      <c r="F146" s="96"/>
      <c r="G146" s="96"/>
      <c r="H146" s="96"/>
      <c r="I146" s="96"/>
      <c r="J146" s="96"/>
      <c r="K146" s="77">
        <v>0</v>
      </c>
      <c r="L146" s="77">
        <f t="shared" si="44"/>
        <v>-7500</v>
      </c>
      <c r="S146" s="77">
        <f>0</f>
        <v>0</v>
      </c>
      <c r="T146" s="77"/>
      <c r="U146" s="77"/>
      <c r="V146" s="77"/>
      <c r="W146" s="77"/>
      <c r="X146" s="77"/>
      <c r="Y146" s="77"/>
      <c r="Z146" s="77"/>
      <c r="AA146" s="77">
        <v>0</v>
      </c>
      <c r="AB146" s="77">
        <f t="shared" si="76"/>
        <v>0</v>
      </c>
    </row>
    <row r="147" spans="1:28" ht="16.5">
      <c r="A147" s="59"/>
      <c r="B147" s="88" t="s">
        <v>206</v>
      </c>
      <c r="C147" s="77">
        <v>0</v>
      </c>
      <c r="D147" s="96"/>
      <c r="E147" s="96"/>
      <c r="F147" s="96"/>
      <c r="G147" s="96"/>
      <c r="H147" s="96"/>
      <c r="I147" s="96"/>
      <c r="J147" s="96"/>
      <c r="K147" s="77">
        <v>0</v>
      </c>
      <c r="L147" s="77">
        <f t="shared" si="44"/>
        <v>0</v>
      </c>
      <c r="S147" s="77">
        <v>0</v>
      </c>
      <c r="T147" s="77"/>
      <c r="U147" s="77"/>
      <c r="V147" s="77"/>
      <c r="W147" s="77"/>
      <c r="X147" s="77"/>
      <c r="Y147" s="77"/>
      <c r="Z147" s="77"/>
      <c r="AA147" s="77">
        <v>0</v>
      </c>
      <c r="AB147" s="77">
        <f t="shared" si="76"/>
        <v>0</v>
      </c>
    </row>
    <row r="148" spans="1:28" ht="16.5">
      <c r="A148" s="98"/>
      <c r="B148" s="99"/>
      <c r="C148" s="100"/>
      <c r="D148" s="100"/>
      <c r="E148" s="100"/>
      <c r="F148" s="100"/>
      <c r="G148" s="100"/>
      <c r="H148" s="100"/>
      <c r="I148" s="100"/>
      <c r="J148" s="100"/>
      <c r="K148" s="77"/>
      <c r="L148" s="77"/>
      <c r="S148" s="100"/>
      <c r="T148" s="240"/>
      <c r="U148" s="240"/>
      <c r="V148" s="240"/>
      <c r="W148" s="240"/>
      <c r="X148" s="240"/>
      <c r="Y148" s="240"/>
      <c r="Z148" s="240"/>
      <c r="AA148" s="77"/>
      <c r="AB148" s="77"/>
    </row>
    <row r="149" spans="1:28" ht="16.5">
      <c r="A149" s="67"/>
      <c r="B149" s="63"/>
      <c r="C149" s="96"/>
      <c r="D149" s="96"/>
      <c r="E149" s="96"/>
      <c r="F149" s="96"/>
      <c r="G149" s="96"/>
      <c r="H149" s="96"/>
      <c r="I149" s="96"/>
      <c r="J149" s="96"/>
      <c r="K149" s="77"/>
      <c r="L149" s="77"/>
      <c r="S149" s="96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26" ht="16.5">
      <c r="A150" s="2"/>
      <c r="C150" s="101"/>
      <c r="D150" s="101"/>
      <c r="E150" s="101"/>
      <c r="F150" s="101"/>
      <c r="G150" s="101"/>
      <c r="H150" s="101"/>
      <c r="I150" s="101"/>
      <c r="J150" s="101"/>
      <c r="S150" s="101"/>
      <c r="T150" s="241"/>
      <c r="U150" s="241"/>
      <c r="V150" s="241"/>
      <c r="W150" s="241"/>
      <c r="X150" s="241"/>
      <c r="Y150" s="241"/>
      <c r="Z150" s="241"/>
    </row>
    <row r="151" spans="1:27" ht="16.5">
      <c r="A151" s="2"/>
      <c r="B151" s="290" t="s">
        <v>288</v>
      </c>
      <c r="C151" s="290"/>
      <c r="D151" s="290"/>
      <c r="E151" s="290"/>
      <c r="F151" s="290"/>
      <c r="G151" s="290"/>
      <c r="H151" s="290"/>
      <c r="I151" s="290"/>
      <c r="J151" s="290"/>
      <c r="K151" s="290"/>
      <c r="S151" s="3"/>
      <c r="T151" s="242"/>
      <c r="U151" s="242"/>
      <c r="V151" s="242"/>
      <c r="W151" s="242"/>
      <c r="X151" s="242"/>
      <c r="Y151" s="242"/>
      <c r="Z151" s="242"/>
      <c r="AA151" s="3"/>
    </row>
    <row r="152" spans="1:26" ht="16.5">
      <c r="A152" s="2"/>
      <c r="C152" s="101"/>
      <c r="D152" s="101"/>
      <c r="E152" s="101"/>
      <c r="F152" s="101"/>
      <c r="G152" s="101"/>
      <c r="H152" s="101"/>
      <c r="I152" s="101"/>
      <c r="J152" s="101"/>
      <c r="S152" s="101"/>
      <c r="T152" s="241"/>
      <c r="U152" s="241"/>
      <c r="V152" s="241"/>
      <c r="W152" s="241"/>
      <c r="X152" s="241"/>
      <c r="Y152" s="241"/>
      <c r="Z152" s="241"/>
    </row>
    <row r="153" spans="1:26" ht="16.5">
      <c r="A153" s="2"/>
      <c r="C153" s="101"/>
      <c r="D153" s="101"/>
      <c r="E153" s="101"/>
      <c r="F153" s="101"/>
      <c r="G153" s="101"/>
      <c r="H153" s="101"/>
      <c r="I153" s="101"/>
      <c r="J153" s="101"/>
      <c r="S153" s="101"/>
      <c r="T153" s="241"/>
      <c r="U153" s="241"/>
      <c r="V153" s="241"/>
      <c r="W153" s="241"/>
      <c r="X153" s="241"/>
      <c r="Y153" s="241"/>
      <c r="Z153" s="241"/>
    </row>
    <row r="154" spans="1:26" ht="16.5">
      <c r="A154" s="2"/>
      <c r="C154" s="101"/>
      <c r="D154" s="101"/>
      <c r="E154" s="101"/>
      <c r="F154" s="101"/>
      <c r="G154" s="101"/>
      <c r="H154" s="101"/>
      <c r="I154" s="101"/>
      <c r="J154" s="101"/>
      <c r="S154" s="101"/>
      <c r="T154" s="241"/>
      <c r="U154" s="241"/>
      <c r="V154" s="241"/>
      <c r="W154" s="241"/>
      <c r="X154" s="241"/>
      <c r="Y154" s="241"/>
      <c r="Z154" s="241"/>
    </row>
    <row r="155" spans="1:26" ht="16.5">
      <c r="A155" s="2"/>
      <c r="C155" s="101"/>
      <c r="D155" s="101"/>
      <c r="E155" s="101"/>
      <c r="F155" s="101"/>
      <c r="G155" s="101"/>
      <c r="H155" s="101"/>
      <c r="I155" s="101"/>
      <c r="J155" s="101"/>
      <c r="S155" s="101"/>
      <c r="T155" s="241"/>
      <c r="U155" s="241"/>
      <c r="V155" s="241"/>
      <c r="W155" s="241"/>
      <c r="X155" s="241"/>
      <c r="Y155" s="241"/>
      <c r="Z155" s="241"/>
    </row>
    <row r="156" spans="1:26" ht="16.5">
      <c r="A156" s="2"/>
      <c r="C156" s="101"/>
      <c r="D156" s="101"/>
      <c r="E156" s="101"/>
      <c r="F156" s="101"/>
      <c r="G156" s="101"/>
      <c r="H156" s="101"/>
      <c r="I156" s="101"/>
      <c r="J156" s="101"/>
      <c r="S156" s="101"/>
      <c r="T156" s="241"/>
      <c r="U156" s="241"/>
      <c r="V156" s="241"/>
      <c r="W156" s="241"/>
      <c r="X156" s="241"/>
      <c r="Y156" s="241"/>
      <c r="Z156" s="241"/>
    </row>
    <row r="157" spans="1:26" ht="16.5">
      <c r="A157" s="2"/>
      <c r="C157" s="101"/>
      <c r="D157" s="101"/>
      <c r="E157" s="101"/>
      <c r="F157" s="101"/>
      <c r="G157" s="101"/>
      <c r="H157" s="101"/>
      <c r="I157" s="101"/>
      <c r="J157" s="101"/>
      <c r="S157" s="101"/>
      <c r="T157" s="241"/>
      <c r="U157" s="241"/>
      <c r="V157" s="241"/>
      <c r="W157" s="241"/>
      <c r="X157" s="241"/>
      <c r="Y157" s="241"/>
      <c r="Z157" s="241"/>
    </row>
    <row r="158" spans="1:26" ht="16.5">
      <c r="A158" s="2"/>
      <c r="C158" s="101"/>
      <c r="D158" s="101"/>
      <c r="E158" s="101"/>
      <c r="F158" s="101"/>
      <c r="G158" s="101"/>
      <c r="H158" s="101"/>
      <c r="I158" s="101"/>
      <c r="J158" s="101"/>
      <c r="S158" s="101"/>
      <c r="T158" s="241"/>
      <c r="U158" s="241"/>
      <c r="V158" s="241"/>
      <c r="W158" s="241"/>
      <c r="X158" s="241"/>
      <c r="Y158" s="241"/>
      <c r="Z158" s="241"/>
    </row>
    <row r="159" spans="1:26" ht="16.5">
      <c r="A159" s="2"/>
      <c r="C159" s="101"/>
      <c r="D159" s="101"/>
      <c r="E159" s="101"/>
      <c r="F159" s="101"/>
      <c r="G159" s="101"/>
      <c r="H159" s="101"/>
      <c r="I159" s="101"/>
      <c r="J159" s="101"/>
      <c r="S159" s="101"/>
      <c r="T159" s="241"/>
      <c r="U159" s="241"/>
      <c r="V159" s="241"/>
      <c r="W159" s="241"/>
      <c r="X159" s="241"/>
      <c r="Y159" s="241"/>
      <c r="Z159" s="241"/>
    </row>
    <row r="160" spans="1:26" ht="16.5">
      <c r="A160" s="2"/>
      <c r="C160" s="101"/>
      <c r="D160" s="101"/>
      <c r="E160" s="101"/>
      <c r="F160" s="101"/>
      <c r="G160" s="101"/>
      <c r="H160" s="101"/>
      <c r="I160" s="101"/>
      <c r="J160" s="101"/>
      <c r="S160" s="101"/>
      <c r="T160" s="241"/>
      <c r="U160" s="241"/>
      <c r="V160" s="241"/>
      <c r="W160" s="241"/>
      <c r="X160" s="241"/>
      <c r="Y160" s="241"/>
      <c r="Z160" s="241"/>
    </row>
    <row r="161" spans="1:26" ht="16.5">
      <c r="A161" s="2"/>
      <c r="C161" s="101"/>
      <c r="D161" s="101"/>
      <c r="E161" s="101"/>
      <c r="F161" s="101"/>
      <c r="G161" s="101"/>
      <c r="H161" s="101"/>
      <c r="I161" s="101"/>
      <c r="J161" s="101"/>
      <c r="S161" s="101"/>
      <c r="T161" s="241"/>
      <c r="U161" s="241"/>
      <c r="V161" s="241"/>
      <c r="W161" s="241"/>
      <c r="X161" s="241"/>
      <c r="Y161" s="241"/>
      <c r="Z161" s="241"/>
    </row>
    <row r="162" spans="1:26" ht="16.5">
      <c r="A162" s="2"/>
      <c r="C162" s="101"/>
      <c r="D162" s="101"/>
      <c r="E162" s="101"/>
      <c r="F162" s="101"/>
      <c r="G162" s="101"/>
      <c r="H162" s="101"/>
      <c r="I162" s="101"/>
      <c r="J162" s="101"/>
      <c r="S162" s="101"/>
      <c r="T162" s="241"/>
      <c r="U162" s="241"/>
      <c r="V162" s="241"/>
      <c r="W162" s="241"/>
      <c r="X162" s="241"/>
      <c r="Y162" s="241"/>
      <c r="Z162" s="241"/>
    </row>
    <row r="163" spans="1:26" ht="16.5">
      <c r="A163" s="2"/>
      <c r="C163" s="101"/>
      <c r="D163" s="101"/>
      <c r="E163" s="101"/>
      <c r="F163" s="101"/>
      <c r="G163" s="101"/>
      <c r="H163" s="101"/>
      <c r="I163" s="101"/>
      <c r="J163" s="101"/>
      <c r="S163" s="101"/>
      <c r="T163" s="241"/>
      <c r="U163" s="241"/>
      <c r="V163" s="241"/>
      <c r="W163" s="241"/>
      <c r="X163" s="241"/>
      <c r="Y163" s="241"/>
      <c r="Z163" s="241"/>
    </row>
    <row r="164" spans="1:26" ht="16.5">
      <c r="A164" s="2"/>
      <c r="C164" s="101"/>
      <c r="D164" s="101"/>
      <c r="E164" s="101"/>
      <c r="F164" s="101"/>
      <c r="G164" s="101"/>
      <c r="H164" s="101"/>
      <c r="I164" s="101"/>
      <c r="J164" s="101"/>
      <c r="S164" s="101"/>
      <c r="T164" s="241"/>
      <c r="U164" s="241"/>
      <c r="V164" s="241"/>
      <c r="W164" s="241"/>
      <c r="X164" s="241"/>
      <c r="Y164" s="241"/>
      <c r="Z164" s="241"/>
    </row>
    <row r="165" spans="1:26" ht="16.5">
      <c r="A165" s="2"/>
      <c r="C165" s="101"/>
      <c r="D165" s="101"/>
      <c r="E165" s="101"/>
      <c r="F165" s="101"/>
      <c r="G165" s="101"/>
      <c r="H165" s="101"/>
      <c r="I165" s="101"/>
      <c r="J165" s="101"/>
      <c r="S165" s="101"/>
      <c r="T165" s="241"/>
      <c r="U165" s="241"/>
      <c r="V165" s="241"/>
      <c r="W165" s="241"/>
      <c r="X165" s="241"/>
      <c r="Y165" s="241"/>
      <c r="Z165" s="241"/>
    </row>
    <row r="166" spans="1:26" ht="16.5">
      <c r="A166" s="2"/>
      <c r="C166" s="101"/>
      <c r="D166" s="101"/>
      <c r="E166" s="101"/>
      <c r="F166" s="101"/>
      <c r="G166" s="101"/>
      <c r="H166" s="101"/>
      <c r="I166" s="101"/>
      <c r="J166" s="101"/>
      <c r="S166" s="101"/>
      <c r="T166" s="241"/>
      <c r="U166" s="241"/>
      <c r="V166" s="241"/>
      <c r="W166" s="241"/>
      <c r="X166" s="241"/>
      <c r="Y166" s="241"/>
      <c r="Z166" s="241"/>
    </row>
    <row r="167" spans="1:26" ht="16.5">
      <c r="A167" s="2"/>
      <c r="C167" s="101"/>
      <c r="D167" s="101"/>
      <c r="E167" s="101"/>
      <c r="F167" s="101"/>
      <c r="G167" s="101"/>
      <c r="H167" s="101"/>
      <c r="I167" s="101"/>
      <c r="J167" s="101"/>
      <c r="S167" s="101"/>
      <c r="T167" s="241"/>
      <c r="U167" s="241"/>
      <c r="V167" s="241"/>
      <c r="W167" s="241"/>
      <c r="X167" s="241"/>
      <c r="Y167" s="241"/>
      <c r="Z167" s="241"/>
    </row>
    <row r="168" spans="1:26" ht="16.5">
      <c r="A168" s="2"/>
      <c r="C168" s="101"/>
      <c r="D168" s="101"/>
      <c r="E168" s="101"/>
      <c r="F168" s="101"/>
      <c r="G168" s="101"/>
      <c r="H168" s="101"/>
      <c r="I168" s="101"/>
      <c r="J168" s="101"/>
      <c r="S168" s="101"/>
      <c r="T168" s="241"/>
      <c r="U168" s="241"/>
      <c r="V168" s="241"/>
      <c r="W168" s="241"/>
      <c r="X168" s="241"/>
      <c r="Y168" s="241"/>
      <c r="Z168" s="241"/>
    </row>
    <row r="169" spans="1:26" ht="16.5">
      <c r="A169" s="2"/>
      <c r="C169" s="101"/>
      <c r="D169" s="101"/>
      <c r="E169" s="101"/>
      <c r="F169" s="101"/>
      <c r="G169" s="101"/>
      <c r="H169" s="101"/>
      <c r="I169" s="101"/>
      <c r="J169" s="101"/>
      <c r="S169" s="101"/>
      <c r="T169" s="241"/>
      <c r="U169" s="241"/>
      <c r="V169" s="241"/>
      <c r="W169" s="241"/>
      <c r="X169" s="241"/>
      <c r="Y169" s="241"/>
      <c r="Z169" s="241"/>
    </row>
    <row r="170" spans="1:26" ht="16.5">
      <c r="A170" s="2"/>
      <c r="C170" s="101"/>
      <c r="D170" s="101"/>
      <c r="E170" s="101"/>
      <c r="F170" s="101"/>
      <c r="G170" s="101"/>
      <c r="H170" s="101"/>
      <c r="I170" s="101"/>
      <c r="J170" s="101"/>
      <c r="S170" s="101"/>
      <c r="T170" s="241"/>
      <c r="U170" s="241"/>
      <c r="V170" s="241"/>
      <c r="W170" s="241"/>
      <c r="X170" s="241"/>
      <c r="Y170" s="241"/>
      <c r="Z170" s="241"/>
    </row>
    <row r="171" spans="1:26" ht="16.5">
      <c r="A171" s="2"/>
      <c r="C171" s="101"/>
      <c r="D171" s="101"/>
      <c r="E171" s="101"/>
      <c r="F171" s="101"/>
      <c r="G171" s="101"/>
      <c r="H171" s="101"/>
      <c r="I171" s="101"/>
      <c r="J171" s="101"/>
      <c r="S171" s="101"/>
      <c r="T171" s="241"/>
      <c r="U171" s="241"/>
      <c r="V171" s="241"/>
      <c r="W171" s="241"/>
      <c r="X171" s="241"/>
      <c r="Y171" s="241"/>
      <c r="Z171" s="241"/>
    </row>
    <row r="172" spans="1:26" ht="16.5">
      <c r="A172" s="2"/>
      <c r="C172" s="101"/>
      <c r="D172" s="101"/>
      <c r="E172" s="101"/>
      <c r="F172" s="101"/>
      <c r="G172" s="101"/>
      <c r="H172" s="101"/>
      <c r="I172" s="101"/>
      <c r="J172" s="101"/>
      <c r="S172" s="101"/>
      <c r="T172" s="241"/>
      <c r="U172" s="241"/>
      <c r="V172" s="241"/>
      <c r="W172" s="241"/>
      <c r="X172" s="241"/>
      <c r="Y172" s="241"/>
      <c r="Z172" s="241"/>
    </row>
    <row r="173" spans="1:26" ht="16.5">
      <c r="A173" s="2"/>
      <c r="C173" s="101"/>
      <c r="D173" s="101"/>
      <c r="E173" s="101"/>
      <c r="F173" s="101"/>
      <c r="G173" s="101"/>
      <c r="H173" s="101"/>
      <c r="I173" s="101"/>
      <c r="J173" s="101"/>
      <c r="S173" s="101"/>
      <c r="T173" s="241"/>
      <c r="U173" s="241"/>
      <c r="V173" s="241"/>
      <c r="W173" s="241"/>
      <c r="X173" s="241"/>
      <c r="Y173" s="241"/>
      <c r="Z173" s="241"/>
    </row>
    <row r="174" spans="1:26" ht="16.5">
      <c r="A174" s="2"/>
      <c r="C174" s="101"/>
      <c r="D174" s="101"/>
      <c r="E174" s="101"/>
      <c r="F174" s="101"/>
      <c r="G174" s="101"/>
      <c r="H174" s="101"/>
      <c r="I174" s="101"/>
      <c r="J174" s="101"/>
      <c r="S174" s="101"/>
      <c r="T174" s="241"/>
      <c r="U174" s="241"/>
      <c r="V174" s="241"/>
      <c r="W174" s="241"/>
      <c r="X174" s="241"/>
      <c r="Y174" s="241"/>
      <c r="Z174" s="241"/>
    </row>
    <row r="175" spans="1:26" ht="16.5">
      <c r="A175" s="2"/>
      <c r="C175" s="101"/>
      <c r="D175" s="101"/>
      <c r="E175" s="101"/>
      <c r="F175" s="101"/>
      <c r="G175" s="101"/>
      <c r="H175" s="101"/>
      <c r="I175" s="101"/>
      <c r="J175" s="101"/>
      <c r="S175" s="101"/>
      <c r="T175" s="241"/>
      <c r="U175" s="241"/>
      <c r="V175" s="241"/>
      <c r="W175" s="241"/>
      <c r="X175" s="241"/>
      <c r="Y175" s="241"/>
      <c r="Z175" s="241"/>
    </row>
    <row r="176" spans="1:26" ht="16.5">
      <c r="A176" s="2"/>
      <c r="C176" s="101"/>
      <c r="D176" s="101"/>
      <c r="E176" s="101"/>
      <c r="F176" s="101"/>
      <c r="G176" s="101"/>
      <c r="H176" s="101"/>
      <c r="I176" s="101"/>
      <c r="J176" s="101"/>
      <c r="S176" s="101"/>
      <c r="T176" s="241"/>
      <c r="U176" s="241"/>
      <c r="V176" s="241"/>
      <c r="W176" s="241"/>
      <c r="X176" s="241"/>
      <c r="Y176" s="241"/>
      <c r="Z176" s="241"/>
    </row>
    <row r="177" spans="1:26" ht="16.5">
      <c r="A177" s="2"/>
      <c r="C177" s="101"/>
      <c r="D177" s="101"/>
      <c r="E177" s="101"/>
      <c r="F177" s="101"/>
      <c r="G177" s="101"/>
      <c r="H177" s="101"/>
      <c r="I177" s="101"/>
      <c r="J177" s="101"/>
      <c r="S177" s="101"/>
      <c r="T177" s="241"/>
      <c r="U177" s="241"/>
      <c r="V177" s="241"/>
      <c r="W177" s="241"/>
      <c r="X177" s="241"/>
      <c r="Y177" s="241"/>
      <c r="Z177" s="241"/>
    </row>
    <row r="178" spans="1:26" ht="16.5">
      <c r="A178" s="2"/>
      <c r="C178" s="101"/>
      <c r="D178" s="101"/>
      <c r="E178" s="101"/>
      <c r="F178" s="101"/>
      <c r="G178" s="101"/>
      <c r="H178" s="101"/>
      <c r="I178" s="101"/>
      <c r="J178" s="101"/>
      <c r="S178" s="101"/>
      <c r="T178" s="241"/>
      <c r="U178" s="241"/>
      <c r="V178" s="241"/>
      <c r="W178" s="241"/>
      <c r="X178" s="241"/>
      <c r="Y178" s="241"/>
      <c r="Z178" s="241"/>
    </row>
    <row r="179" spans="1:26" ht="16.5">
      <c r="A179" s="2"/>
      <c r="C179" s="101"/>
      <c r="D179" s="101"/>
      <c r="E179" s="101"/>
      <c r="F179" s="101"/>
      <c r="G179" s="101"/>
      <c r="H179" s="101"/>
      <c r="I179" s="101"/>
      <c r="J179" s="101"/>
      <c r="S179" s="101"/>
      <c r="T179" s="241"/>
      <c r="U179" s="241"/>
      <c r="V179" s="241"/>
      <c r="W179" s="241"/>
      <c r="X179" s="241"/>
      <c r="Y179" s="241"/>
      <c r="Z179" s="241"/>
    </row>
    <row r="180" spans="1:26" ht="16.5">
      <c r="A180" s="2"/>
      <c r="C180" s="101"/>
      <c r="D180" s="101"/>
      <c r="E180" s="101"/>
      <c r="F180" s="101"/>
      <c r="G180" s="101"/>
      <c r="H180" s="101"/>
      <c r="I180" s="101"/>
      <c r="J180" s="101"/>
      <c r="S180" s="101"/>
      <c r="T180" s="241"/>
      <c r="U180" s="241"/>
      <c r="V180" s="241"/>
      <c r="W180" s="241"/>
      <c r="X180" s="241"/>
      <c r="Y180" s="241"/>
      <c r="Z180" s="241"/>
    </row>
    <row r="181" spans="1:26" ht="16.5">
      <c r="A181" s="2"/>
      <c r="C181" s="101"/>
      <c r="D181" s="101"/>
      <c r="E181" s="101"/>
      <c r="F181" s="101"/>
      <c r="G181" s="101"/>
      <c r="H181" s="101"/>
      <c r="I181" s="101"/>
      <c r="J181" s="101"/>
      <c r="S181" s="101"/>
      <c r="T181" s="241"/>
      <c r="U181" s="241"/>
      <c r="V181" s="241"/>
      <c r="W181" s="241"/>
      <c r="X181" s="241"/>
      <c r="Y181" s="241"/>
      <c r="Z181" s="241"/>
    </row>
    <row r="182" spans="1:26" ht="16.5">
      <c r="A182" s="2"/>
      <c r="C182" s="101"/>
      <c r="D182" s="101"/>
      <c r="E182" s="101"/>
      <c r="F182" s="101"/>
      <c r="G182" s="101"/>
      <c r="H182" s="101"/>
      <c r="I182" s="101"/>
      <c r="J182" s="101"/>
      <c r="S182" s="101"/>
      <c r="T182" s="241"/>
      <c r="U182" s="241"/>
      <c r="V182" s="241"/>
      <c r="W182" s="241"/>
      <c r="X182" s="241"/>
      <c r="Y182" s="241"/>
      <c r="Z182" s="241"/>
    </row>
    <row r="183" spans="1:26" ht="16.5">
      <c r="A183" s="2"/>
      <c r="C183" s="101"/>
      <c r="D183" s="101"/>
      <c r="E183" s="101"/>
      <c r="F183" s="101"/>
      <c r="G183" s="101"/>
      <c r="H183" s="101"/>
      <c r="I183" s="101"/>
      <c r="J183" s="101"/>
      <c r="S183" s="101"/>
      <c r="T183" s="241"/>
      <c r="U183" s="241"/>
      <c r="V183" s="241"/>
      <c r="W183" s="241"/>
      <c r="X183" s="241"/>
      <c r="Y183" s="241"/>
      <c r="Z183" s="241"/>
    </row>
    <row r="184" spans="1:26" ht="16.5">
      <c r="A184" s="2"/>
      <c r="C184" s="101"/>
      <c r="D184" s="101"/>
      <c r="E184" s="101"/>
      <c r="F184" s="101"/>
      <c r="G184" s="101"/>
      <c r="H184" s="101"/>
      <c r="I184" s="101"/>
      <c r="J184" s="101"/>
      <c r="S184" s="101"/>
      <c r="T184" s="241"/>
      <c r="U184" s="241"/>
      <c r="V184" s="241"/>
      <c r="W184" s="241"/>
      <c r="X184" s="241"/>
      <c r="Y184" s="241"/>
      <c r="Z184" s="241"/>
    </row>
    <row r="185" spans="1:26" ht="16.5">
      <c r="A185" s="2"/>
      <c r="C185" s="101"/>
      <c r="D185" s="101"/>
      <c r="E185" s="101"/>
      <c r="F185" s="101"/>
      <c r="G185" s="101"/>
      <c r="H185" s="101"/>
      <c r="I185" s="101"/>
      <c r="J185" s="101"/>
      <c r="S185" s="101"/>
      <c r="T185" s="241"/>
      <c r="U185" s="241"/>
      <c r="V185" s="241"/>
      <c r="W185" s="241"/>
      <c r="X185" s="241"/>
      <c r="Y185" s="241"/>
      <c r="Z185" s="241"/>
    </row>
    <row r="186" spans="1:26" ht="16.5">
      <c r="A186" s="2"/>
      <c r="C186" s="101"/>
      <c r="D186" s="101"/>
      <c r="E186" s="101"/>
      <c r="F186" s="101"/>
      <c r="G186" s="101"/>
      <c r="H186" s="101"/>
      <c r="I186" s="101"/>
      <c r="J186" s="101"/>
      <c r="S186" s="101"/>
      <c r="T186" s="241"/>
      <c r="U186" s="241"/>
      <c r="V186" s="241"/>
      <c r="W186" s="241"/>
      <c r="X186" s="241"/>
      <c r="Y186" s="241"/>
      <c r="Z186" s="241"/>
    </row>
    <row r="187" spans="1:26" ht="16.5">
      <c r="A187" s="2"/>
      <c r="C187" s="101"/>
      <c r="D187" s="101"/>
      <c r="E187" s="101"/>
      <c r="F187" s="101"/>
      <c r="G187" s="101"/>
      <c r="H187" s="101"/>
      <c r="I187" s="101"/>
      <c r="J187" s="101"/>
      <c r="S187" s="101"/>
      <c r="T187" s="241"/>
      <c r="U187" s="241"/>
      <c r="V187" s="241"/>
      <c r="W187" s="241"/>
      <c r="X187" s="241"/>
      <c r="Y187" s="241"/>
      <c r="Z187" s="241"/>
    </row>
    <row r="188" spans="1:26" ht="16.5">
      <c r="A188" s="2"/>
      <c r="C188" s="101"/>
      <c r="D188" s="101"/>
      <c r="E188" s="101"/>
      <c r="F188" s="101"/>
      <c r="G188" s="101"/>
      <c r="H188" s="101"/>
      <c r="I188" s="101"/>
      <c r="J188" s="101"/>
      <c r="S188" s="101"/>
      <c r="T188" s="241"/>
      <c r="U188" s="241"/>
      <c r="V188" s="241"/>
      <c r="W188" s="241"/>
      <c r="X188" s="241"/>
      <c r="Y188" s="241"/>
      <c r="Z188" s="241"/>
    </row>
    <row r="189" spans="1:26" ht="16.5">
      <c r="A189" s="2"/>
      <c r="C189" s="101"/>
      <c r="D189" s="101"/>
      <c r="E189" s="101"/>
      <c r="F189" s="101"/>
      <c r="G189" s="101"/>
      <c r="H189" s="101"/>
      <c r="I189" s="101"/>
      <c r="J189" s="101"/>
      <c r="S189" s="101"/>
      <c r="T189" s="241"/>
      <c r="U189" s="241"/>
      <c r="V189" s="241"/>
      <c r="W189" s="241"/>
      <c r="X189" s="241"/>
      <c r="Y189" s="241"/>
      <c r="Z189" s="241"/>
    </row>
    <row r="190" spans="1:26" ht="16.5">
      <c r="A190" s="2"/>
      <c r="C190" s="101"/>
      <c r="D190" s="101"/>
      <c r="E190" s="101"/>
      <c r="F190" s="101"/>
      <c r="G190" s="101"/>
      <c r="H190" s="101"/>
      <c r="I190" s="101"/>
      <c r="J190" s="101"/>
      <c r="S190" s="101"/>
      <c r="T190" s="241"/>
      <c r="U190" s="241"/>
      <c r="V190" s="241"/>
      <c r="W190" s="241"/>
      <c r="X190" s="241"/>
      <c r="Y190" s="241"/>
      <c r="Z190" s="241"/>
    </row>
    <row r="191" spans="1:26" ht="16.5">
      <c r="A191" s="2"/>
      <c r="C191" s="101"/>
      <c r="D191" s="101"/>
      <c r="E191" s="101"/>
      <c r="F191" s="101"/>
      <c r="G191" s="101"/>
      <c r="H191" s="101"/>
      <c r="I191" s="101"/>
      <c r="J191" s="101"/>
      <c r="S191" s="101"/>
      <c r="T191" s="241"/>
      <c r="U191" s="241"/>
      <c r="V191" s="241"/>
      <c r="W191" s="241"/>
      <c r="X191" s="241"/>
      <c r="Y191" s="241"/>
      <c r="Z191" s="241"/>
    </row>
    <row r="192" spans="1:26" ht="16.5">
      <c r="A192" s="2"/>
      <c r="C192" s="101"/>
      <c r="D192" s="101"/>
      <c r="E192" s="101"/>
      <c r="F192" s="101"/>
      <c r="G192" s="101"/>
      <c r="H192" s="101"/>
      <c r="I192" s="101"/>
      <c r="J192" s="101"/>
      <c r="S192" s="101"/>
      <c r="T192" s="241"/>
      <c r="U192" s="241"/>
      <c r="V192" s="241"/>
      <c r="W192" s="241"/>
      <c r="X192" s="241"/>
      <c r="Y192" s="241"/>
      <c r="Z192" s="241"/>
    </row>
    <row r="193" spans="1:26" ht="16.5">
      <c r="A193" s="2"/>
      <c r="C193" s="101"/>
      <c r="D193" s="101"/>
      <c r="E193" s="101"/>
      <c r="F193" s="101"/>
      <c r="G193" s="101"/>
      <c r="H193" s="101"/>
      <c r="I193" s="101"/>
      <c r="J193" s="101"/>
      <c r="S193" s="101"/>
      <c r="T193" s="241"/>
      <c r="U193" s="241"/>
      <c r="V193" s="241"/>
      <c r="W193" s="241"/>
      <c r="X193" s="241"/>
      <c r="Y193" s="241"/>
      <c r="Z193" s="241"/>
    </row>
    <row r="194" spans="1:26" ht="16.5">
      <c r="A194" s="2"/>
      <c r="C194" s="101"/>
      <c r="D194" s="101"/>
      <c r="E194" s="101"/>
      <c r="F194" s="101"/>
      <c r="G194" s="101"/>
      <c r="H194" s="101"/>
      <c r="I194" s="101"/>
      <c r="J194" s="101"/>
      <c r="S194" s="101"/>
      <c r="T194" s="241"/>
      <c r="U194" s="241"/>
      <c r="V194" s="241"/>
      <c r="W194" s="241"/>
      <c r="X194" s="241"/>
      <c r="Y194" s="241"/>
      <c r="Z194" s="241"/>
    </row>
    <row r="195" spans="1:26" ht="16.5">
      <c r="A195" s="2"/>
      <c r="C195" s="101"/>
      <c r="D195" s="101"/>
      <c r="E195" s="101"/>
      <c r="F195" s="101"/>
      <c r="G195" s="101"/>
      <c r="H195" s="101"/>
      <c r="I195" s="101"/>
      <c r="J195" s="101"/>
      <c r="S195" s="101"/>
      <c r="T195" s="241"/>
      <c r="U195" s="241"/>
      <c r="V195" s="241"/>
      <c r="W195" s="241"/>
      <c r="X195" s="241"/>
      <c r="Y195" s="241"/>
      <c r="Z195" s="241"/>
    </row>
    <row r="196" spans="1:26" ht="16.5">
      <c r="A196" s="2"/>
      <c r="C196" s="101"/>
      <c r="D196" s="101"/>
      <c r="E196" s="101"/>
      <c r="F196" s="101"/>
      <c r="G196" s="101"/>
      <c r="H196" s="101"/>
      <c r="I196" s="101"/>
      <c r="J196" s="101"/>
      <c r="S196" s="101"/>
      <c r="T196" s="241"/>
      <c r="U196" s="241"/>
      <c r="V196" s="241"/>
      <c r="W196" s="241"/>
      <c r="X196" s="241"/>
      <c r="Y196" s="241"/>
      <c r="Z196" s="241"/>
    </row>
    <row r="197" spans="1:26" ht="16.5">
      <c r="A197" s="2"/>
      <c r="C197" s="101"/>
      <c r="D197" s="101"/>
      <c r="E197" s="101"/>
      <c r="F197" s="101"/>
      <c r="G197" s="101"/>
      <c r="H197" s="101"/>
      <c r="I197" s="101"/>
      <c r="J197" s="101"/>
      <c r="S197" s="101"/>
      <c r="T197" s="241"/>
      <c r="U197" s="241"/>
      <c r="V197" s="241"/>
      <c r="W197" s="241"/>
      <c r="X197" s="241"/>
      <c r="Y197" s="241"/>
      <c r="Z197" s="241"/>
    </row>
    <row r="198" spans="1:26" ht="16.5">
      <c r="A198" s="2"/>
      <c r="C198" s="101"/>
      <c r="D198" s="101"/>
      <c r="E198" s="101"/>
      <c r="F198" s="101"/>
      <c r="G198" s="101"/>
      <c r="H198" s="101"/>
      <c r="I198" s="101"/>
      <c r="J198" s="101"/>
      <c r="S198" s="101"/>
      <c r="T198" s="241"/>
      <c r="U198" s="241"/>
      <c r="V198" s="241"/>
      <c r="W198" s="241"/>
      <c r="X198" s="241"/>
      <c r="Y198" s="241"/>
      <c r="Z198" s="241"/>
    </row>
    <row r="199" spans="1:26" ht="16.5">
      <c r="A199" s="2"/>
      <c r="C199" s="101"/>
      <c r="D199" s="101"/>
      <c r="E199" s="101"/>
      <c r="F199" s="101"/>
      <c r="G199" s="101"/>
      <c r="H199" s="101"/>
      <c r="I199" s="101"/>
      <c r="J199" s="101"/>
      <c r="S199" s="101"/>
      <c r="T199" s="241"/>
      <c r="U199" s="241"/>
      <c r="V199" s="241"/>
      <c r="W199" s="241"/>
      <c r="X199" s="241"/>
      <c r="Y199" s="241"/>
      <c r="Z199" s="241"/>
    </row>
    <row r="200" spans="1:26" ht="16.5">
      <c r="A200" s="2"/>
      <c r="C200" s="101"/>
      <c r="D200" s="101"/>
      <c r="E200" s="101"/>
      <c r="F200" s="101"/>
      <c r="G200" s="101"/>
      <c r="H200" s="101"/>
      <c r="I200" s="101"/>
      <c r="J200" s="101"/>
      <c r="S200" s="101"/>
      <c r="T200" s="241"/>
      <c r="U200" s="241"/>
      <c r="V200" s="241"/>
      <c r="W200" s="241"/>
      <c r="X200" s="241"/>
      <c r="Y200" s="241"/>
      <c r="Z200" s="241"/>
    </row>
    <row r="201" spans="1:26" ht="16.5">
      <c r="A201" s="2"/>
      <c r="C201" s="101"/>
      <c r="D201" s="101"/>
      <c r="E201" s="101"/>
      <c r="F201" s="101"/>
      <c r="G201" s="101"/>
      <c r="H201" s="101"/>
      <c r="I201" s="101"/>
      <c r="J201" s="101"/>
      <c r="S201" s="101"/>
      <c r="T201" s="241"/>
      <c r="U201" s="241"/>
      <c r="V201" s="241"/>
      <c r="W201" s="241"/>
      <c r="X201" s="241"/>
      <c r="Y201" s="241"/>
      <c r="Z201" s="241"/>
    </row>
    <row r="202" spans="1:26" ht="16.5">
      <c r="A202" s="2"/>
      <c r="C202" s="101"/>
      <c r="D202" s="101"/>
      <c r="E202" s="101"/>
      <c r="F202" s="101"/>
      <c r="G202" s="101"/>
      <c r="H202" s="101"/>
      <c r="I202" s="101"/>
      <c r="J202" s="101"/>
      <c r="S202" s="101"/>
      <c r="T202" s="241"/>
      <c r="U202" s="241"/>
      <c r="V202" s="241"/>
      <c r="W202" s="241"/>
      <c r="X202" s="241"/>
      <c r="Y202" s="241"/>
      <c r="Z202" s="241"/>
    </row>
    <row r="203" spans="1:26" ht="16.5">
      <c r="A203" s="2"/>
      <c r="C203" s="101"/>
      <c r="D203" s="101"/>
      <c r="E203" s="101"/>
      <c r="F203" s="101"/>
      <c r="G203" s="101"/>
      <c r="H203" s="101"/>
      <c r="I203" s="101"/>
      <c r="J203" s="101"/>
      <c r="S203" s="101"/>
      <c r="T203" s="241"/>
      <c r="U203" s="241"/>
      <c r="V203" s="241"/>
      <c r="W203" s="241"/>
      <c r="X203" s="241"/>
      <c r="Y203" s="241"/>
      <c r="Z203" s="241"/>
    </row>
    <row r="204" spans="1:26" ht="16.5">
      <c r="A204" s="2"/>
      <c r="C204" s="101"/>
      <c r="D204" s="101"/>
      <c r="E204" s="101"/>
      <c r="F204" s="101"/>
      <c r="G204" s="101"/>
      <c r="H204" s="101"/>
      <c r="I204" s="101"/>
      <c r="J204" s="101"/>
      <c r="S204" s="101"/>
      <c r="T204" s="241"/>
      <c r="U204" s="241"/>
      <c r="V204" s="241"/>
      <c r="W204" s="241"/>
      <c r="X204" s="241"/>
      <c r="Y204" s="241"/>
      <c r="Z204" s="241"/>
    </row>
    <row r="205" spans="1:26" ht="16.5">
      <c r="A205" s="2"/>
      <c r="C205" s="101"/>
      <c r="D205" s="101"/>
      <c r="E205" s="101"/>
      <c r="F205" s="101"/>
      <c r="G205" s="101"/>
      <c r="H205" s="101"/>
      <c r="I205" s="101"/>
      <c r="J205" s="101"/>
      <c r="S205" s="101"/>
      <c r="T205" s="241"/>
      <c r="U205" s="241"/>
      <c r="V205" s="241"/>
      <c r="W205" s="241"/>
      <c r="X205" s="241"/>
      <c r="Y205" s="241"/>
      <c r="Z205" s="241"/>
    </row>
    <row r="206" spans="1:26" ht="16.5">
      <c r="A206" s="2"/>
      <c r="C206" s="101"/>
      <c r="D206" s="101"/>
      <c r="E206" s="101"/>
      <c r="F206" s="101"/>
      <c r="G206" s="101"/>
      <c r="H206" s="101"/>
      <c r="I206" s="101"/>
      <c r="J206" s="101"/>
      <c r="S206" s="101"/>
      <c r="T206" s="241"/>
      <c r="U206" s="241"/>
      <c r="V206" s="241"/>
      <c r="W206" s="241"/>
      <c r="X206" s="241"/>
      <c r="Y206" s="241"/>
      <c r="Z206" s="241"/>
    </row>
    <row r="207" spans="1:26" ht="16.5">
      <c r="A207" s="2"/>
      <c r="C207" s="101"/>
      <c r="D207" s="101"/>
      <c r="E207" s="101"/>
      <c r="F207" s="101"/>
      <c r="G207" s="101"/>
      <c r="H207" s="101"/>
      <c r="I207" s="101"/>
      <c r="J207" s="101"/>
      <c r="S207" s="101"/>
      <c r="T207" s="241"/>
      <c r="U207" s="241"/>
      <c r="V207" s="241"/>
      <c r="W207" s="241"/>
      <c r="X207" s="241"/>
      <c r="Y207" s="241"/>
      <c r="Z207" s="241"/>
    </row>
    <row r="208" spans="1:26" ht="16.5">
      <c r="A208" s="2"/>
      <c r="C208" s="101"/>
      <c r="D208" s="101"/>
      <c r="E208" s="101"/>
      <c r="F208" s="101"/>
      <c r="G208" s="101"/>
      <c r="H208" s="101"/>
      <c r="I208" s="101"/>
      <c r="J208" s="101"/>
      <c r="S208" s="101"/>
      <c r="T208" s="241"/>
      <c r="U208" s="241"/>
      <c r="V208" s="241"/>
      <c r="W208" s="241"/>
      <c r="X208" s="241"/>
      <c r="Y208" s="241"/>
      <c r="Z208" s="241"/>
    </row>
    <row r="209" spans="1:26" ht="16.5">
      <c r="A209" s="2"/>
      <c r="C209" s="101"/>
      <c r="D209" s="101"/>
      <c r="E209" s="101"/>
      <c r="F209" s="101"/>
      <c r="G209" s="101"/>
      <c r="H209" s="101"/>
      <c r="I209" s="101"/>
      <c r="J209" s="101"/>
      <c r="S209" s="101"/>
      <c r="T209" s="241"/>
      <c r="U209" s="241"/>
      <c r="V209" s="241"/>
      <c r="W209" s="241"/>
      <c r="X209" s="241"/>
      <c r="Y209" s="241"/>
      <c r="Z209" s="241"/>
    </row>
    <row r="210" spans="1:26" ht="16.5">
      <c r="A210" s="2"/>
      <c r="C210" s="101"/>
      <c r="D210" s="101"/>
      <c r="E210" s="101"/>
      <c r="F210" s="101"/>
      <c r="G210" s="101"/>
      <c r="H210" s="101"/>
      <c r="I210" s="101"/>
      <c r="J210" s="101"/>
      <c r="S210" s="101"/>
      <c r="T210" s="241"/>
      <c r="U210" s="241"/>
      <c r="V210" s="241"/>
      <c r="W210" s="241"/>
      <c r="X210" s="241"/>
      <c r="Y210" s="241"/>
      <c r="Z210" s="241"/>
    </row>
    <row r="211" spans="1:26" ht="16.5">
      <c r="A211" s="2"/>
      <c r="C211" s="101"/>
      <c r="D211" s="101"/>
      <c r="E211" s="101"/>
      <c r="F211" s="101"/>
      <c r="G211" s="101"/>
      <c r="H211" s="101"/>
      <c r="I211" s="101"/>
      <c r="J211" s="101"/>
      <c r="S211" s="101"/>
      <c r="T211" s="241"/>
      <c r="U211" s="241"/>
      <c r="V211" s="241"/>
      <c r="W211" s="241"/>
      <c r="X211" s="241"/>
      <c r="Y211" s="241"/>
      <c r="Z211" s="241"/>
    </row>
    <row r="212" spans="3:26" ht="16.5">
      <c r="C212" s="101"/>
      <c r="D212" s="101"/>
      <c r="E212" s="101"/>
      <c r="F212" s="101"/>
      <c r="G212" s="101"/>
      <c r="H212" s="101"/>
      <c r="I212" s="101"/>
      <c r="J212" s="101"/>
      <c r="S212" s="101"/>
      <c r="T212" s="241"/>
      <c r="U212" s="241"/>
      <c r="V212" s="241"/>
      <c r="W212" s="241"/>
      <c r="X212" s="241"/>
      <c r="Y212" s="241"/>
      <c r="Z212" s="241"/>
    </row>
    <row r="213" spans="3:26" ht="16.5">
      <c r="C213" s="101"/>
      <c r="D213" s="101"/>
      <c r="E213" s="101"/>
      <c r="F213" s="101"/>
      <c r="G213" s="101"/>
      <c r="H213" s="101"/>
      <c r="I213" s="101"/>
      <c r="J213" s="101"/>
      <c r="S213" s="101"/>
      <c r="T213" s="241"/>
      <c r="U213" s="241"/>
      <c r="V213" s="241"/>
      <c r="W213" s="241"/>
      <c r="X213" s="241"/>
      <c r="Y213" s="241"/>
      <c r="Z213" s="241"/>
    </row>
    <row r="214" spans="3:26" ht="16.5">
      <c r="C214" s="101"/>
      <c r="D214" s="101"/>
      <c r="E214" s="101"/>
      <c r="F214" s="101"/>
      <c r="G214" s="101"/>
      <c r="H214" s="101"/>
      <c r="I214" s="101"/>
      <c r="J214" s="101"/>
      <c r="S214" s="101"/>
      <c r="T214" s="241"/>
      <c r="U214" s="241"/>
      <c r="V214" s="241"/>
      <c r="W214" s="241"/>
      <c r="X214" s="241"/>
      <c r="Y214" s="241"/>
      <c r="Z214" s="241"/>
    </row>
    <row r="215" spans="3:26" ht="16.5">
      <c r="C215" s="101"/>
      <c r="D215" s="101"/>
      <c r="E215" s="101"/>
      <c r="F215" s="101"/>
      <c r="G215" s="101"/>
      <c r="H215" s="101"/>
      <c r="I215" s="101"/>
      <c r="J215" s="101"/>
      <c r="S215" s="101"/>
      <c r="T215" s="241"/>
      <c r="U215" s="241"/>
      <c r="V215" s="241"/>
      <c r="W215" s="241"/>
      <c r="X215" s="241"/>
      <c r="Y215" s="241"/>
      <c r="Z215" s="241"/>
    </row>
    <row r="216" spans="3:26" ht="16.5">
      <c r="C216" s="101"/>
      <c r="D216" s="101"/>
      <c r="E216" s="101"/>
      <c r="F216" s="101"/>
      <c r="G216" s="101"/>
      <c r="H216" s="101"/>
      <c r="I216" s="101"/>
      <c r="J216" s="101"/>
      <c r="S216" s="101"/>
      <c r="T216" s="241"/>
      <c r="U216" s="241"/>
      <c r="V216" s="241"/>
      <c r="W216" s="241"/>
      <c r="X216" s="241"/>
      <c r="Y216" s="241"/>
      <c r="Z216" s="241"/>
    </row>
    <row r="217" spans="3:26" ht="16.5">
      <c r="C217" s="101"/>
      <c r="D217" s="101"/>
      <c r="E217" s="101"/>
      <c r="F217" s="101"/>
      <c r="G217" s="101"/>
      <c r="H217" s="101"/>
      <c r="I217" s="101"/>
      <c r="J217" s="101"/>
      <c r="S217" s="101"/>
      <c r="T217" s="241"/>
      <c r="U217" s="241"/>
      <c r="V217" s="241"/>
      <c r="W217" s="241"/>
      <c r="X217" s="241"/>
      <c r="Y217" s="241"/>
      <c r="Z217" s="241"/>
    </row>
    <row r="218" spans="3:26" ht="16.5">
      <c r="C218" s="101"/>
      <c r="D218" s="101"/>
      <c r="E218" s="101"/>
      <c r="F218" s="101"/>
      <c r="G218" s="101"/>
      <c r="H218" s="101"/>
      <c r="I218" s="101"/>
      <c r="J218" s="101"/>
      <c r="S218" s="101"/>
      <c r="T218" s="241"/>
      <c r="U218" s="241"/>
      <c r="V218" s="241"/>
      <c r="W218" s="241"/>
      <c r="X218" s="241"/>
      <c r="Y218" s="241"/>
      <c r="Z218" s="241"/>
    </row>
    <row r="219" spans="3:26" ht="16.5">
      <c r="C219" s="101"/>
      <c r="D219" s="101"/>
      <c r="E219" s="101"/>
      <c r="F219" s="101"/>
      <c r="G219" s="101"/>
      <c r="H219" s="101"/>
      <c r="I219" s="101"/>
      <c r="J219" s="101"/>
      <c r="S219" s="101"/>
      <c r="T219" s="241"/>
      <c r="U219" s="241"/>
      <c r="V219" s="241"/>
      <c r="W219" s="241"/>
      <c r="X219" s="241"/>
      <c r="Y219" s="241"/>
      <c r="Z219" s="241"/>
    </row>
    <row r="220" spans="3:26" ht="16.5">
      <c r="C220" s="101"/>
      <c r="D220" s="101"/>
      <c r="E220" s="101"/>
      <c r="F220" s="101"/>
      <c r="G220" s="101"/>
      <c r="H220" s="101"/>
      <c r="I220" s="101"/>
      <c r="J220" s="101"/>
      <c r="S220" s="101"/>
      <c r="T220" s="241"/>
      <c r="U220" s="241"/>
      <c r="V220" s="241"/>
      <c r="W220" s="241"/>
      <c r="X220" s="241"/>
      <c r="Y220" s="241"/>
      <c r="Z220" s="241"/>
    </row>
    <row r="221" spans="3:26" ht="16.5">
      <c r="C221" s="101"/>
      <c r="D221" s="101"/>
      <c r="E221" s="101"/>
      <c r="F221" s="101"/>
      <c r="G221" s="101"/>
      <c r="H221" s="101"/>
      <c r="I221" s="101"/>
      <c r="J221" s="101"/>
      <c r="S221" s="101"/>
      <c r="T221" s="241"/>
      <c r="U221" s="241"/>
      <c r="V221" s="241"/>
      <c r="W221" s="241"/>
      <c r="X221" s="241"/>
      <c r="Y221" s="241"/>
      <c r="Z221" s="241"/>
    </row>
    <row r="222" spans="3:26" ht="16.5">
      <c r="C222" s="101"/>
      <c r="D222" s="101"/>
      <c r="E222" s="101"/>
      <c r="F222" s="101"/>
      <c r="G222" s="101"/>
      <c r="H222" s="101"/>
      <c r="I222" s="101"/>
      <c r="J222" s="101"/>
      <c r="S222" s="101"/>
      <c r="T222" s="241"/>
      <c r="U222" s="241"/>
      <c r="V222" s="241"/>
      <c r="W222" s="241"/>
      <c r="X222" s="241"/>
      <c r="Y222" s="241"/>
      <c r="Z222" s="241"/>
    </row>
    <row r="223" spans="3:26" ht="16.5">
      <c r="C223" s="101"/>
      <c r="D223" s="101"/>
      <c r="E223" s="101"/>
      <c r="F223" s="101"/>
      <c r="G223" s="101"/>
      <c r="H223" s="101"/>
      <c r="I223" s="101"/>
      <c r="J223" s="101"/>
      <c r="S223" s="101"/>
      <c r="T223" s="241"/>
      <c r="U223" s="241"/>
      <c r="V223" s="241"/>
      <c r="W223" s="241"/>
      <c r="X223" s="241"/>
      <c r="Y223" s="241"/>
      <c r="Z223" s="241"/>
    </row>
    <row r="224" spans="3:26" ht="16.5">
      <c r="C224" s="101"/>
      <c r="D224" s="101"/>
      <c r="E224" s="101"/>
      <c r="F224" s="101"/>
      <c r="G224" s="101"/>
      <c r="H224" s="101"/>
      <c r="I224" s="101"/>
      <c r="J224" s="101"/>
      <c r="S224" s="101"/>
      <c r="T224" s="241"/>
      <c r="U224" s="241"/>
      <c r="V224" s="241"/>
      <c r="W224" s="241"/>
      <c r="X224" s="241"/>
      <c r="Y224" s="241"/>
      <c r="Z224" s="241"/>
    </row>
    <row r="225" spans="3:26" ht="16.5">
      <c r="C225" s="101"/>
      <c r="D225" s="101"/>
      <c r="E225" s="101"/>
      <c r="F225" s="101"/>
      <c r="G225" s="101"/>
      <c r="H225" s="101"/>
      <c r="I225" s="101"/>
      <c r="J225" s="101"/>
      <c r="S225" s="101"/>
      <c r="T225" s="241"/>
      <c r="U225" s="241"/>
      <c r="V225" s="241"/>
      <c r="W225" s="241"/>
      <c r="X225" s="241"/>
      <c r="Y225" s="241"/>
      <c r="Z225" s="241"/>
    </row>
    <row r="226" spans="3:26" ht="16.5">
      <c r="C226" s="101"/>
      <c r="D226" s="101"/>
      <c r="E226" s="101"/>
      <c r="F226" s="101"/>
      <c r="G226" s="101"/>
      <c r="H226" s="101"/>
      <c r="I226" s="101"/>
      <c r="J226" s="101"/>
      <c r="S226" s="101"/>
      <c r="T226" s="241"/>
      <c r="U226" s="241"/>
      <c r="V226" s="241"/>
      <c r="W226" s="241"/>
      <c r="X226" s="241"/>
      <c r="Y226" s="241"/>
      <c r="Z226" s="241"/>
    </row>
    <row r="227" spans="3:26" ht="16.5">
      <c r="C227" s="101"/>
      <c r="D227" s="101"/>
      <c r="E227" s="101"/>
      <c r="F227" s="101"/>
      <c r="G227" s="101"/>
      <c r="H227" s="101"/>
      <c r="I227" s="101"/>
      <c r="J227" s="101"/>
      <c r="S227" s="101"/>
      <c r="T227" s="241"/>
      <c r="U227" s="241"/>
      <c r="V227" s="241"/>
      <c r="W227" s="241"/>
      <c r="X227" s="241"/>
      <c r="Y227" s="241"/>
      <c r="Z227" s="241"/>
    </row>
    <row r="228" spans="3:26" ht="16.5">
      <c r="C228" s="101"/>
      <c r="D228" s="101"/>
      <c r="E228" s="101"/>
      <c r="F228" s="101"/>
      <c r="G228" s="101"/>
      <c r="H228" s="101"/>
      <c r="I228" s="101"/>
      <c r="J228" s="101"/>
      <c r="S228" s="101"/>
      <c r="T228" s="241"/>
      <c r="U228" s="241"/>
      <c r="V228" s="241"/>
      <c r="W228" s="241"/>
      <c r="X228" s="241"/>
      <c r="Y228" s="241"/>
      <c r="Z228" s="241"/>
    </row>
    <row r="229" spans="3:26" ht="16.5">
      <c r="C229" s="101"/>
      <c r="D229" s="101"/>
      <c r="E229" s="101"/>
      <c r="F229" s="101"/>
      <c r="G229" s="101"/>
      <c r="H229" s="101"/>
      <c r="I229" s="101"/>
      <c r="J229" s="101"/>
      <c r="S229" s="101"/>
      <c r="T229" s="241"/>
      <c r="U229" s="241"/>
      <c r="V229" s="241"/>
      <c r="W229" s="241"/>
      <c r="X229" s="241"/>
      <c r="Y229" s="241"/>
      <c r="Z229" s="241"/>
    </row>
    <row r="230" spans="3:26" ht="16.5">
      <c r="C230" s="101"/>
      <c r="D230" s="101"/>
      <c r="E230" s="101"/>
      <c r="F230" s="101"/>
      <c r="G230" s="101"/>
      <c r="H230" s="101"/>
      <c r="I230" s="101"/>
      <c r="J230" s="101"/>
      <c r="S230" s="101"/>
      <c r="T230" s="241"/>
      <c r="U230" s="241"/>
      <c r="V230" s="241"/>
      <c r="W230" s="241"/>
      <c r="X230" s="241"/>
      <c r="Y230" s="241"/>
      <c r="Z230" s="241"/>
    </row>
    <row r="231" spans="3:26" ht="16.5">
      <c r="C231" s="101"/>
      <c r="D231" s="101"/>
      <c r="E231" s="101"/>
      <c r="F231" s="101"/>
      <c r="G231" s="101"/>
      <c r="H231" s="101"/>
      <c r="I231" s="101"/>
      <c r="J231" s="101"/>
      <c r="S231" s="101"/>
      <c r="T231" s="241"/>
      <c r="U231" s="241"/>
      <c r="V231" s="241"/>
      <c r="W231" s="241"/>
      <c r="X231" s="241"/>
      <c r="Y231" s="241"/>
      <c r="Z231" s="241"/>
    </row>
    <row r="232" spans="3:26" ht="16.5">
      <c r="C232" s="101"/>
      <c r="D232" s="101"/>
      <c r="E232" s="101"/>
      <c r="F232" s="101"/>
      <c r="G232" s="101"/>
      <c r="H232" s="101"/>
      <c r="I232" s="101"/>
      <c r="J232" s="101"/>
      <c r="S232" s="101"/>
      <c r="T232" s="241"/>
      <c r="U232" s="241"/>
      <c r="V232" s="241"/>
      <c r="W232" s="241"/>
      <c r="X232" s="241"/>
      <c r="Y232" s="241"/>
      <c r="Z232" s="241"/>
    </row>
    <row r="233" spans="3:26" ht="16.5">
      <c r="C233" s="101"/>
      <c r="D233" s="101"/>
      <c r="E233" s="101"/>
      <c r="F233" s="101"/>
      <c r="G233" s="101"/>
      <c r="H233" s="101"/>
      <c r="I233" s="101"/>
      <c r="J233" s="101"/>
      <c r="S233" s="101"/>
      <c r="T233" s="241"/>
      <c r="U233" s="241"/>
      <c r="V233" s="241"/>
      <c r="W233" s="241"/>
      <c r="X233" s="241"/>
      <c r="Y233" s="241"/>
      <c r="Z233" s="241"/>
    </row>
    <row r="234" spans="3:26" ht="16.5">
      <c r="C234" s="101"/>
      <c r="D234" s="101"/>
      <c r="E234" s="101"/>
      <c r="F234" s="101"/>
      <c r="G234" s="101"/>
      <c r="H234" s="101"/>
      <c r="I234" s="101"/>
      <c r="J234" s="101"/>
      <c r="S234" s="101"/>
      <c r="T234" s="241"/>
      <c r="U234" s="241"/>
      <c r="V234" s="241"/>
      <c r="W234" s="241"/>
      <c r="X234" s="241"/>
      <c r="Y234" s="241"/>
      <c r="Z234" s="241"/>
    </row>
    <row r="235" spans="3:26" ht="16.5">
      <c r="C235" s="101"/>
      <c r="D235" s="101"/>
      <c r="E235" s="101"/>
      <c r="F235" s="101"/>
      <c r="G235" s="101"/>
      <c r="H235" s="101"/>
      <c r="I235" s="101"/>
      <c r="J235" s="101"/>
      <c r="S235" s="101"/>
      <c r="T235" s="241"/>
      <c r="U235" s="241"/>
      <c r="V235" s="241"/>
      <c r="W235" s="241"/>
      <c r="X235" s="241"/>
      <c r="Y235" s="241"/>
      <c r="Z235" s="241"/>
    </row>
    <row r="236" spans="3:26" ht="16.5">
      <c r="C236" s="101"/>
      <c r="D236" s="101"/>
      <c r="E236" s="101"/>
      <c r="F236" s="101"/>
      <c r="G236" s="101"/>
      <c r="H236" s="101"/>
      <c r="I236" s="101"/>
      <c r="J236" s="101"/>
      <c r="S236" s="101"/>
      <c r="T236" s="241"/>
      <c r="U236" s="241"/>
      <c r="V236" s="241"/>
      <c r="W236" s="241"/>
      <c r="X236" s="241"/>
      <c r="Y236" s="241"/>
      <c r="Z236" s="241"/>
    </row>
    <row r="237" spans="3:26" ht="16.5">
      <c r="C237" s="101"/>
      <c r="D237" s="101"/>
      <c r="E237" s="101"/>
      <c r="F237" s="101"/>
      <c r="G237" s="101"/>
      <c r="H237" s="101"/>
      <c r="I237" s="101"/>
      <c r="J237" s="101"/>
      <c r="S237" s="101"/>
      <c r="T237" s="241"/>
      <c r="U237" s="241"/>
      <c r="V237" s="241"/>
      <c r="W237" s="241"/>
      <c r="X237" s="241"/>
      <c r="Y237" s="241"/>
      <c r="Z237" s="241"/>
    </row>
    <row r="238" spans="3:26" ht="16.5">
      <c r="C238" s="101"/>
      <c r="D238" s="101"/>
      <c r="E238" s="101"/>
      <c r="F238" s="101"/>
      <c r="G238" s="101"/>
      <c r="H238" s="101"/>
      <c r="I238" s="101"/>
      <c r="J238" s="101"/>
      <c r="S238" s="101"/>
      <c r="T238" s="241"/>
      <c r="U238" s="241"/>
      <c r="V238" s="241"/>
      <c r="W238" s="241"/>
      <c r="X238" s="241"/>
      <c r="Y238" s="241"/>
      <c r="Z238" s="241"/>
    </row>
    <row r="239" spans="3:26" ht="16.5">
      <c r="C239" s="101"/>
      <c r="D239" s="101"/>
      <c r="E239" s="101"/>
      <c r="F239" s="101"/>
      <c r="G239" s="101"/>
      <c r="H239" s="101"/>
      <c r="I239" s="101"/>
      <c r="J239" s="101"/>
      <c r="S239" s="101"/>
      <c r="T239" s="241"/>
      <c r="U239" s="241"/>
      <c r="V239" s="241"/>
      <c r="W239" s="241"/>
      <c r="X239" s="241"/>
      <c r="Y239" s="241"/>
      <c r="Z239" s="241"/>
    </row>
    <row r="240" spans="3:26" ht="16.5">
      <c r="C240" s="101"/>
      <c r="D240" s="101"/>
      <c r="E240" s="101"/>
      <c r="F240" s="101"/>
      <c r="G240" s="101"/>
      <c r="H240" s="101"/>
      <c r="I240" s="101"/>
      <c r="J240" s="101"/>
      <c r="S240" s="101"/>
      <c r="T240" s="241"/>
      <c r="U240" s="241"/>
      <c r="V240" s="241"/>
      <c r="W240" s="241"/>
      <c r="X240" s="241"/>
      <c r="Y240" s="241"/>
      <c r="Z240" s="241"/>
    </row>
    <row r="241" spans="3:26" ht="16.5">
      <c r="C241" s="101"/>
      <c r="D241" s="101"/>
      <c r="E241" s="101"/>
      <c r="F241" s="101"/>
      <c r="G241" s="101"/>
      <c r="H241" s="101"/>
      <c r="I241" s="101"/>
      <c r="J241" s="101"/>
      <c r="S241" s="101"/>
      <c r="T241" s="241"/>
      <c r="U241" s="241"/>
      <c r="V241" s="241"/>
      <c r="W241" s="241"/>
      <c r="X241" s="241"/>
      <c r="Y241" s="241"/>
      <c r="Z241" s="241"/>
    </row>
    <row r="242" spans="3:26" ht="16.5">
      <c r="C242" s="101"/>
      <c r="D242" s="101"/>
      <c r="E242" s="101"/>
      <c r="F242" s="101"/>
      <c r="G242" s="101"/>
      <c r="H242" s="101"/>
      <c r="I242" s="101"/>
      <c r="J242" s="101"/>
      <c r="S242" s="101"/>
      <c r="T242" s="241"/>
      <c r="U242" s="241"/>
      <c r="V242" s="241"/>
      <c r="W242" s="241"/>
      <c r="X242" s="241"/>
      <c r="Y242" s="241"/>
      <c r="Z242" s="241"/>
    </row>
    <row r="243" spans="3:26" ht="16.5">
      <c r="C243" s="101"/>
      <c r="D243" s="101"/>
      <c r="E243" s="101"/>
      <c r="F243" s="101"/>
      <c r="G243" s="101"/>
      <c r="H243" s="101"/>
      <c r="I243" s="101"/>
      <c r="J243" s="101"/>
      <c r="S243" s="101"/>
      <c r="T243" s="241"/>
      <c r="U243" s="241"/>
      <c r="V243" s="241"/>
      <c r="W243" s="241"/>
      <c r="X243" s="241"/>
      <c r="Y243" s="241"/>
      <c r="Z243" s="241"/>
    </row>
    <row r="244" spans="3:26" ht="16.5">
      <c r="C244" s="101"/>
      <c r="D244" s="101"/>
      <c r="E244" s="101"/>
      <c r="F244" s="101"/>
      <c r="G244" s="101"/>
      <c r="H244" s="101"/>
      <c r="I244" s="101"/>
      <c r="J244" s="101"/>
      <c r="S244" s="101"/>
      <c r="T244" s="241"/>
      <c r="U244" s="241"/>
      <c r="V244" s="241"/>
      <c r="W244" s="241"/>
      <c r="X244" s="241"/>
      <c r="Y244" s="241"/>
      <c r="Z244" s="241"/>
    </row>
    <row r="245" spans="3:26" ht="16.5">
      <c r="C245" s="101"/>
      <c r="D245" s="101"/>
      <c r="E245" s="101"/>
      <c r="F245" s="101"/>
      <c r="G245" s="101"/>
      <c r="H245" s="101"/>
      <c r="I245" s="101"/>
      <c r="J245" s="101"/>
      <c r="S245" s="101"/>
      <c r="T245" s="241"/>
      <c r="U245" s="241"/>
      <c r="V245" s="241"/>
      <c r="W245" s="241"/>
      <c r="X245" s="241"/>
      <c r="Y245" s="241"/>
      <c r="Z245" s="241"/>
    </row>
    <row r="246" spans="3:26" ht="16.5">
      <c r="C246" s="101"/>
      <c r="D246" s="101"/>
      <c r="E246" s="101"/>
      <c r="F246" s="101"/>
      <c r="G246" s="101"/>
      <c r="H246" s="101"/>
      <c r="I246" s="101"/>
      <c r="J246" s="101"/>
      <c r="S246" s="101"/>
      <c r="T246" s="241"/>
      <c r="U246" s="241"/>
      <c r="V246" s="241"/>
      <c r="W246" s="241"/>
      <c r="X246" s="241"/>
      <c r="Y246" s="241"/>
      <c r="Z246" s="241"/>
    </row>
    <row r="247" spans="3:26" ht="16.5">
      <c r="C247" s="101"/>
      <c r="D247" s="101"/>
      <c r="E247" s="101"/>
      <c r="F247" s="101"/>
      <c r="G247" s="101"/>
      <c r="H247" s="101"/>
      <c r="I247" s="101"/>
      <c r="J247" s="101"/>
      <c r="S247" s="101"/>
      <c r="T247" s="241"/>
      <c r="U247" s="241"/>
      <c r="V247" s="241"/>
      <c r="W247" s="241"/>
      <c r="X247" s="241"/>
      <c r="Y247" s="241"/>
      <c r="Z247" s="241"/>
    </row>
    <row r="248" spans="3:26" ht="16.5">
      <c r="C248" s="101"/>
      <c r="D248" s="101"/>
      <c r="E248" s="101"/>
      <c r="F248" s="101"/>
      <c r="G248" s="101"/>
      <c r="H248" s="101"/>
      <c r="I248" s="101"/>
      <c r="J248" s="101"/>
      <c r="S248" s="101"/>
      <c r="T248" s="241"/>
      <c r="U248" s="241"/>
      <c r="V248" s="241"/>
      <c r="W248" s="241"/>
      <c r="X248" s="241"/>
      <c r="Y248" s="241"/>
      <c r="Z248" s="241"/>
    </row>
    <row r="249" spans="3:26" ht="16.5">
      <c r="C249" s="101"/>
      <c r="D249" s="101"/>
      <c r="E249" s="101"/>
      <c r="F249" s="101"/>
      <c r="G249" s="101"/>
      <c r="H249" s="101"/>
      <c r="I249" s="101"/>
      <c r="J249" s="101"/>
      <c r="S249" s="101"/>
      <c r="T249" s="241"/>
      <c r="U249" s="241"/>
      <c r="V249" s="241"/>
      <c r="W249" s="241"/>
      <c r="X249" s="241"/>
      <c r="Y249" s="241"/>
      <c r="Z249" s="241"/>
    </row>
    <row r="250" spans="3:26" ht="16.5">
      <c r="C250" s="101"/>
      <c r="D250" s="101"/>
      <c r="E250" s="101"/>
      <c r="F250" s="101"/>
      <c r="G250" s="101"/>
      <c r="H250" s="101"/>
      <c r="I250" s="101"/>
      <c r="J250" s="101"/>
      <c r="S250" s="101"/>
      <c r="T250" s="241"/>
      <c r="U250" s="241"/>
      <c r="V250" s="241"/>
      <c r="W250" s="241"/>
      <c r="X250" s="241"/>
      <c r="Y250" s="241"/>
      <c r="Z250" s="241"/>
    </row>
    <row r="251" spans="3:26" ht="16.5">
      <c r="C251" s="101"/>
      <c r="D251" s="101"/>
      <c r="E251" s="101"/>
      <c r="F251" s="101"/>
      <c r="G251" s="101"/>
      <c r="H251" s="101"/>
      <c r="I251" s="101"/>
      <c r="J251" s="101"/>
      <c r="S251" s="101"/>
      <c r="T251" s="241"/>
      <c r="U251" s="241"/>
      <c r="V251" s="241"/>
      <c r="W251" s="241"/>
      <c r="X251" s="241"/>
      <c r="Y251" s="241"/>
      <c r="Z251" s="241"/>
    </row>
    <row r="252" spans="3:26" ht="16.5">
      <c r="C252" s="101"/>
      <c r="D252" s="101"/>
      <c r="E252" s="101"/>
      <c r="F252" s="101"/>
      <c r="G252" s="101"/>
      <c r="H252" s="101"/>
      <c r="I252" s="101"/>
      <c r="J252" s="101"/>
      <c r="S252" s="101"/>
      <c r="T252" s="241"/>
      <c r="U252" s="241"/>
      <c r="V252" s="241"/>
      <c r="W252" s="241"/>
      <c r="X252" s="241"/>
      <c r="Y252" s="241"/>
      <c r="Z252" s="241"/>
    </row>
    <row r="253" spans="3:26" ht="16.5">
      <c r="C253" s="101"/>
      <c r="D253" s="101"/>
      <c r="E253" s="101"/>
      <c r="F253" s="101"/>
      <c r="G253" s="101"/>
      <c r="H253" s="101"/>
      <c r="I253" s="101"/>
      <c r="J253" s="101"/>
      <c r="S253" s="101"/>
      <c r="T253" s="241"/>
      <c r="U253" s="241"/>
      <c r="V253" s="241"/>
      <c r="W253" s="241"/>
      <c r="X253" s="241"/>
      <c r="Y253" s="241"/>
      <c r="Z253" s="241"/>
    </row>
    <row r="254" spans="3:26" ht="16.5">
      <c r="C254" s="101"/>
      <c r="D254" s="101"/>
      <c r="E254" s="101"/>
      <c r="F254" s="101"/>
      <c r="G254" s="101"/>
      <c r="H254" s="101"/>
      <c r="I254" s="101"/>
      <c r="J254" s="101"/>
      <c r="S254" s="101"/>
      <c r="T254" s="241"/>
      <c r="U254" s="241"/>
      <c r="V254" s="241"/>
      <c r="W254" s="241"/>
      <c r="X254" s="241"/>
      <c r="Y254" s="241"/>
      <c r="Z254" s="241"/>
    </row>
    <row r="255" spans="3:26" ht="16.5">
      <c r="C255" s="101"/>
      <c r="D255" s="101"/>
      <c r="E255" s="101"/>
      <c r="F255" s="101"/>
      <c r="G255" s="101"/>
      <c r="H255" s="101"/>
      <c r="I255" s="101"/>
      <c r="J255" s="101"/>
      <c r="S255" s="101"/>
      <c r="T255" s="241"/>
      <c r="U255" s="241"/>
      <c r="V255" s="241"/>
      <c r="W255" s="241"/>
      <c r="X255" s="241"/>
      <c r="Y255" s="241"/>
      <c r="Z255" s="241"/>
    </row>
    <row r="256" spans="3:26" ht="16.5">
      <c r="C256" s="101"/>
      <c r="D256" s="101"/>
      <c r="E256" s="101"/>
      <c r="F256" s="101"/>
      <c r="G256" s="101"/>
      <c r="H256" s="101"/>
      <c r="I256" s="101"/>
      <c r="J256" s="101"/>
      <c r="S256" s="101"/>
      <c r="T256" s="241"/>
      <c r="U256" s="241"/>
      <c r="V256" s="241"/>
      <c r="W256" s="241"/>
      <c r="X256" s="241"/>
      <c r="Y256" s="241"/>
      <c r="Z256" s="241"/>
    </row>
    <row r="257" spans="3:26" ht="16.5">
      <c r="C257" s="101"/>
      <c r="D257" s="101"/>
      <c r="E257" s="101"/>
      <c r="F257" s="101"/>
      <c r="G257" s="101"/>
      <c r="H257" s="101"/>
      <c r="I257" s="101"/>
      <c r="J257" s="101"/>
      <c r="S257" s="101"/>
      <c r="T257" s="241"/>
      <c r="U257" s="241"/>
      <c r="V257" s="241"/>
      <c r="W257" s="241"/>
      <c r="X257" s="241"/>
      <c r="Y257" s="241"/>
      <c r="Z257" s="241"/>
    </row>
    <row r="258" spans="3:26" ht="16.5">
      <c r="C258" s="101"/>
      <c r="D258" s="101"/>
      <c r="E258" s="101"/>
      <c r="F258" s="101"/>
      <c r="G258" s="101"/>
      <c r="H258" s="101"/>
      <c r="I258" s="101"/>
      <c r="J258" s="101"/>
      <c r="S258" s="101"/>
      <c r="T258" s="241"/>
      <c r="U258" s="241"/>
      <c r="V258" s="241"/>
      <c r="W258" s="241"/>
      <c r="X258" s="241"/>
      <c r="Y258" s="241"/>
      <c r="Z258" s="241"/>
    </row>
    <row r="259" spans="3:26" ht="16.5">
      <c r="C259" s="101"/>
      <c r="D259" s="101"/>
      <c r="E259" s="101"/>
      <c r="F259" s="101"/>
      <c r="G259" s="101"/>
      <c r="H259" s="101"/>
      <c r="I259" s="101"/>
      <c r="J259" s="101"/>
      <c r="S259" s="101"/>
      <c r="T259" s="241"/>
      <c r="U259" s="241"/>
      <c r="V259" s="241"/>
      <c r="W259" s="241"/>
      <c r="X259" s="241"/>
      <c r="Y259" s="241"/>
      <c r="Z259" s="241"/>
    </row>
    <row r="260" spans="3:26" ht="16.5">
      <c r="C260" s="101"/>
      <c r="D260" s="101"/>
      <c r="E260" s="101"/>
      <c r="F260" s="101"/>
      <c r="G260" s="101"/>
      <c r="H260" s="101"/>
      <c r="I260" s="101"/>
      <c r="J260" s="101"/>
      <c r="S260" s="101"/>
      <c r="T260" s="241"/>
      <c r="U260" s="241"/>
      <c r="V260" s="241"/>
      <c r="W260" s="241"/>
      <c r="X260" s="241"/>
      <c r="Y260" s="241"/>
      <c r="Z260" s="241"/>
    </row>
    <row r="261" spans="3:26" ht="16.5">
      <c r="C261" s="101"/>
      <c r="D261" s="101"/>
      <c r="E261" s="101"/>
      <c r="F261" s="101"/>
      <c r="G261" s="101"/>
      <c r="H261" s="101"/>
      <c r="I261" s="101"/>
      <c r="J261" s="101"/>
      <c r="S261" s="101"/>
      <c r="T261" s="241"/>
      <c r="U261" s="241"/>
      <c r="V261" s="241"/>
      <c r="W261" s="241"/>
      <c r="X261" s="241"/>
      <c r="Y261" s="241"/>
      <c r="Z261" s="241"/>
    </row>
    <row r="262" spans="3:26" ht="16.5">
      <c r="C262" s="101"/>
      <c r="D262" s="101"/>
      <c r="E262" s="101"/>
      <c r="F262" s="101"/>
      <c r="G262" s="101"/>
      <c r="H262" s="101"/>
      <c r="I262" s="101"/>
      <c r="J262" s="101"/>
      <c r="S262" s="101"/>
      <c r="T262" s="241"/>
      <c r="U262" s="241"/>
      <c r="V262" s="241"/>
      <c r="W262" s="241"/>
      <c r="X262" s="241"/>
      <c r="Y262" s="241"/>
      <c r="Z262" s="241"/>
    </row>
    <row r="263" spans="3:26" ht="16.5">
      <c r="C263" s="101"/>
      <c r="D263" s="101"/>
      <c r="E263" s="101"/>
      <c r="F263" s="101"/>
      <c r="G263" s="101"/>
      <c r="H263" s="101"/>
      <c r="I263" s="101"/>
      <c r="J263" s="101"/>
      <c r="S263" s="101"/>
      <c r="T263" s="241"/>
      <c r="U263" s="241"/>
      <c r="V263" s="241"/>
      <c r="W263" s="241"/>
      <c r="X263" s="241"/>
      <c r="Y263" s="241"/>
      <c r="Z263" s="241"/>
    </row>
    <row r="264" spans="3:26" ht="16.5">
      <c r="C264" s="101"/>
      <c r="D264" s="101"/>
      <c r="E264" s="101"/>
      <c r="F264" s="101"/>
      <c r="G264" s="101"/>
      <c r="H264" s="101"/>
      <c r="I264" s="101"/>
      <c r="J264" s="101"/>
      <c r="S264" s="101"/>
      <c r="T264" s="241"/>
      <c r="U264" s="241"/>
      <c r="V264" s="241"/>
      <c r="W264" s="241"/>
      <c r="X264" s="241"/>
      <c r="Y264" s="241"/>
      <c r="Z264" s="241"/>
    </row>
    <row r="265" spans="3:26" ht="16.5">
      <c r="C265" s="101"/>
      <c r="D265" s="101"/>
      <c r="E265" s="101"/>
      <c r="F265" s="101"/>
      <c r="G265" s="101"/>
      <c r="H265" s="101"/>
      <c r="I265" s="101"/>
      <c r="J265" s="101"/>
      <c r="S265" s="101"/>
      <c r="T265" s="241"/>
      <c r="U265" s="241"/>
      <c r="V265" s="241"/>
      <c r="W265" s="241"/>
      <c r="X265" s="241"/>
      <c r="Y265" s="241"/>
      <c r="Z265" s="241"/>
    </row>
    <row r="266" spans="3:26" ht="16.5">
      <c r="C266" s="101"/>
      <c r="D266" s="101"/>
      <c r="E266" s="101"/>
      <c r="F266" s="101"/>
      <c r="G266" s="101"/>
      <c r="H266" s="101"/>
      <c r="I266" s="101"/>
      <c r="J266" s="101"/>
      <c r="S266" s="101"/>
      <c r="T266" s="241"/>
      <c r="U266" s="241"/>
      <c r="V266" s="241"/>
      <c r="W266" s="241"/>
      <c r="X266" s="241"/>
      <c r="Y266" s="241"/>
      <c r="Z266" s="241"/>
    </row>
    <row r="267" spans="3:26" ht="16.5">
      <c r="C267" s="101"/>
      <c r="D267" s="101"/>
      <c r="E267" s="101"/>
      <c r="F267" s="101"/>
      <c r="G267" s="101"/>
      <c r="H267" s="101"/>
      <c r="I267" s="101"/>
      <c r="J267" s="101"/>
      <c r="S267" s="101"/>
      <c r="T267" s="241"/>
      <c r="U267" s="241"/>
      <c r="V267" s="241"/>
      <c r="W267" s="241"/>
      <c r="X267" s="241"/>
      <c r="Y267" s="241"/>
      <c r="Z267" s="241"/>
    </row>
    <row r="268" spans="3:26" ht="16.5">
      <c r="C268" s="101"/>
      <c r="D268" s="101"/>
      <c r="E268" s="101"/>
      <c r="F268" s="101"/>
      <c r="G268" s="101"/>
      <c r="H268" s="101"/>
      <c r="I268" s="101"/>
      <c r="J268" s="101"/>
      <c r="S268" s="101"/>
      <c r="T268" s="241"/>
      <c r="U268" s="241"/>
      <c r="V268" s="241"/>
      <c r="W268" s="241"/>
      <c r="X268" s="241"/>
      <c r="Y268" s="241"/>
      <c r="Z268" s="241"/>
    </row>
    <row r="269" spans="3:26" ht="16.5">
      <c r="C269" s="101"/>
      <c r="D269" s="101"/>
      <c r="E269" s="101"/>
      <c r="F269" s="101"/>
      <c r="G269" s="101"/>
      <c r="H269" s="101"/>
      <c r="I269" s="101"/>
      <c r="J269" s="101"/>
      <c r="S269" s="101"/>
      <c r="T269" s="241"/>
      <c r="U269" s="241"/>
      <c r="V269" s="241"/>
      <c r="W269" s="241"/>
      <c r="X269" s="241"/>
      <c r="Y269" s="241"/>
      <c r="Z269" s="241"/>
    </row>
    <row r="270" spans="3:26" ht="16.5">
      <c r="C270" s="101"/>
      <c r="D270" s="101"/>
      <c r="E270" s="101"/>
      <c r="F270" s="101"/>
      <c r="G270" s="101"/>
      <c r="H270" s="101"/>
      <c r="I270" s="101"/>
      <c r="J270" s="101"/>
      <c r="S270" s="101"/>
      <c r="T270" s="241"/>
      <c r="U270" s="241"/>
      <c r="V270" s="241"/>
      <c r="W270" s="241"/>
      <c r="X270" s="241"/>
      <c r="Y270" s="241"/>
      <c r="Z270" s="241"/>
    </row>
    <row r="271" spans="3:26" ht="16.5">
      <c r="C271" s="101"/>
      <c r="D271" s="101"/>
      <c r="E271" s="101"/>
      <c r="F271" s="101"/>
      <c r="G271" s="101"/>
      <c r="H271" s="101"/>
      <c r="I271" s="101"/>
      <c r="J271" s="101"/>
      <c r="S271" s="101"/>
      <c r="T271" s="241"/>
      <c r="U271" s="241"/>
      <c r="V271" s="241"/>
      <c r="W271" s="241"/>
      <c r="X271" s="241"/>
      <c r="Y271" s="241"/>
      <c r="Z271" s="241"/>
    </row>
    <row r="272" spans="3:26" ht="16.5">
      <c r="C272" s="101"/>
      <c r="D272" s="101"/>
      <c r="E272" s="101"/>
      <c r="F272" s="101"/>
      <c r="G272" s="101"/>
      <c r="H272" s="101"/>
      <c r="I272" s="101"/>
      <c r="J272" s="101"/>
      <c r="S272" s="101"/>
      <c r="T272" s="241"/>
      <c r="U272" s="241"/>
      <c r="V272" s="241"/>
      <c r="W272" s="241"/>
      <c r="X272" s="241"/>
      <c r="Y272" s="241"/>
      <c r="Z272" s="241"/>
    </row>
    <row r="273" spans="3:26" ht="16.5">
      <c r="C273" s="101"/>
      <c r="D273" s="101"/>
      <c r="E273" s="101"/>
      <c r="F273" s="101"/>
      <c r="G273" s="101"/>
      <c r="H273" s="101"/>
      <c r="I273" s="101"/>
      <c r="J273" s="101"/>
      <c r="S273" s="101"/>
      <c r="T273" s="241"/>
      <c r="U273" s="241"/>
      <c r="V273" s="241"/>
      <c r="W273" s="241"/>
      <c r="X273" s="241"/>
      <c r="Y273" s="241"/>
      <c r="Z273" s="241"/>
    </row>
    <row r="274" spans="3:26" ht="16.5">
      <c r="C274" s="101"/>
      <c r="D274" s="101"/>
      <c r="E274" s="101"/>
      <c r="F274" s="101"/>
      <c r="G274" s="101"/>
      <c r="H274" s="101"/>
      <c r="I274" s="101"/>
      <c r="J274" s="101"/>
      <c r="S274" s="101"/>
      <c r="T274" s="241"/>
      <c r="U274" s="241"/>
      <c r="V274" s="241"/>
      <c r="W274" s="241"/>
      <c r="X274" s="241"/>
      <c r="Y274" s="241"/>
      <c r="Z274" s="241"/>
    </row>
    <row r="275" spans="3:26" ht="16.5">
      <c r="C275" s="101"/>
      <c r="D275" s="101"/>
      <c r="E275" s="101"/>
      <c r="F275" s="101"/>
      <c r="G275" s="101"/>
      <c r="H275" s="101"/>
      <c r="I275" s="101"/>
      <c r="J275" s="101"/>
      <c r="S275" s="101"/>
      <c r="T275" s="241"/>
      <c r="U275" s="241"/>
      <c r="V275" s="241"/>
      <c r="W275" s="241"/>
      <c r="X275" s="241"/>
      <c r="Y275" s="241"/>
      <c r="Z275" s="241"/>
    </row>
    <row r="276" spans="3:26" ht="16.5">
      <c r="C276" s="101"/>
      <c r="D276" s="101"/>
      <c r="E276" s="101"/>
      <c r="F276" s="101"/>
      <c r="G276" s="101"/>
      <c r="H276" s="101"/>
      <c r="I276" s="101"/>
      <c r="J276" s="101"/>
      <c r="S276" s="101"/>
      <c r="T276" s="241"/>
      <c r="U276" s="241"/>
      <c r="V276" s="241"/>
      <c r="W276" s="241"/>
      <c r="X276" s="241"/>
      <c r="Y276" s="241"/>
      <c r="Z276" s="241"/>
    </row>
    <row r="277" spans="3:26" ht="16.5">
      <c r="C277" s="101"/>
      <c r="D277" s="101"/>
      <c r="E277" s="101"/>
      <c r="F277" s="101"/>
      <c r="G277" s="101"/>
      <c r="H277" s="101"/>
      <c r="I277" s="101"/>
      <c r="J277" s="101"/>
      <c r="S277" s="101"/>
      <c r="T277" s="241"/>
      <c r="U277" s="241"/>
      <c r="V277" s="241"/>
      <c r="W277" s="241"/>
      <c r="X277" s="241"/>
      <c r="Y277" s="241"/>
      <c r="Z277" s="241"/>
    </row>
    <row r="278" spans="3:26" ht="16.5">
      <c r="C278" s="101"/>
      <c r="D278" s="101"/>
      <c r="E278" s="101"/>
      <c r="F278" s="101"/>
      <c r="G278" s="101"/>
      <c r="H278" s="101"/>
      <c r="I278" s="101"/>
      <c r="J278" s="101"/>
      <c r="S278" s="101"/>
      <c r="T278" s="241"/>
      <c r="U278" s="241"/>
      <c r="V278" s="241"/>
      <c r="W278" s="241"/>
      <c r="X278" s="241"/>
      <c r="Y278" s="241"/>
      <c r="Z278" s="241"/>
    </row>
    <row r="279" spans="3:26" ht="16.5">
      <c r="C279" s="101"/>
      <c r="D279" s="101"/>
      <c r="E279" s="101"/>
      <c r="F279" s="101"/>
      <c r="G279" s="101"/>
      <c r="H279" s="101"/>
      <c r="I279" s="101"/>
      <c r="J279" s="101"/>
      <c r="S279" s="101"/>
      <c r="T279" s="241"/>
      <c r="U279" s="241"/>
      <c r="V279" s="241"/>
      <c r="W279" s="241"/>
      <c r="X279" s="241"/>
      <c r="Y279" s="241"/>
      <c r="Z279" s="241"/>
    </row>
    <row r="280" spans="3:26" ht="16.5">
      <c r="C280" s="101"/>
      <c r="D280" s="101"/>
      <c r="E280" s="101"/>
      <c r="F280" s="101"/>
      <c r="G280" s="101"/>
      <c r="H280" s="101"/>
      <c r="I280" s="101"/>
      <c r="J280" s="101"/>
      <c r="S280" s="101"/>
      <c r="T280" s="241"/>
      <c r="U280" s="241"/>
      <c r="V280" s="241"/>
      <c r="W280" s="241"/>
      <c r="X280" s="241"/>
      <c r="Y280" s="241"/>
      <c r="Z280" s="241"/>
    </row>
    <row r="281" spans="3:26" ht="16.5">
      <c r="C281" s="101"/>
      <c r="D281" s="101"/>
      <c r="E281" s="101"/>
      <c r="F281" s="101"/>
      <c r="G281" s="101"/>
      <c r="H281" s="101"/>
      <c r="I281" s="101"/>
      <c r="J281" s="101"/>
      <c r="S281" s="101"/>
      <c r="T281" s="241"/>
      <c r="U281" s="241"/>
      <c r="V281" s="241"/>
      <c r="W281" s="241"/>
      <c r="X281" s="241"/>
      <c r="Y281" s="241"/>
      <c r="Z281" s="241"/>
    </row>
    <row r="282" spans="3:26" ht="16.5">
      <c r="C282" s="101"/>
      <c r="D282" s="101"/>
      <c r="E282" s="101"/>
      <c r="F282" s="101"/>
      <c r="G282" s="101"/>
      <c r="H282" s="101"/>
      <c r="I282" s="101"/>
      <c r="J282" s="101"/>
      <c r="S282" s="101"/>
      <c r="T282" s="241"/>
      <c r="U282" s="241"/>
      <c r="V282" s="241"/>
      <c r="W282" s="241"/>
      <c r="X282" s="241"/>
      <c r="Y282" s="241"/>
      <c r="Z282" s="241"/>
    </row>
    <row r="283" spans="3:26" ht="16.5">
      <c r="C283" s="101"/>
      <c r="D283" s="101"/>
      <c r="E283" s="101"/>
      <c r="F283" s="101"/>
      <c r="G283" s="101"/>
      <c r="H283" s="101"/>
      <c r="I283" s="101"/>
      <c r="J283" s="101"/>
      <c r="S283" s="101"/>
      <c r="T283" s="241"/>
      <c r="U283" s="241"/>
      <c r="V283" s="241"/>
      <c r="W283" s="241"/>
      <c r="X283" s="241"/>
      <c r="Y283" s="241"/>
      <c r="Z283" s="241"/>
    </row>
    <row r="284" spans="3:26" ht="16.5">
      <c r="C284" s="101"/>
      <c r="D284" s="101"/>
      <c r="E284" s="101"/>
      <c r="F284" s="101"/>
      <c r="G284" s="101"/>
      <c r="H284" s="101"/>
      <c r="I284" s="101"/>
      <c r="J284" s="101"/>
      <c r="S284" s="101"/>
      <c r="T284" s="241"/>
      <c r="U284" s="241"/>
      <c r="V284" s="241"/>
      <c r="W284" s="241"/>
      <c r="X284" s="241"/>
      <c r="Y284" s="241"/>
      <c r="Z284" s="241"/>
    </row>
    <row r="285" spans="3:26" ht="16.5">
      <c r="C285" s="101"/>
      <c r="D285" s="101"/>
      <c r="E285" s="101"/>
      <c r="F285" s="101"/>
      <c r="G285" s="101"/>
      <c r="H285" s="101"/>
      <c r="I285" s="101"/>
      <c r="J285" s="101"/>
      <c r="S285" s="101"/>
      <c r="T285" s="241"/>
      <c r="U285" s="241"/>
      <c r="V285" s="241"/>
      <c r="W285" s="241"/>
      <c r="X285" s="241"/>
      <c r="Y285" s="241"/>
      <c r="Z285" s="241"/>
    </row>
    <row r="286" spans="3:26" ht="16.5">
      <c r="C286" s="101"/>
      <c r="D286" s="101"/>
      <c r="E286" s="101"/>
      <c r="F286" s="101"/>
      <c r="G286" s="101"/>
      <c r="H286" s="101"/>
      <c r="I286" s="101"/>
      <c r="J286" s="101"/>
      <c r="S286" s="101"/>
      <c r="T286" s="241"/>
      <c r="U286" s="241"/>
      <c r="V286" s="241"/>
      <c r="W286" s="241"/>
      <c r="X286" s="241"/>
      <c r="Y286" s="241"/>
      <c r="Z286" s="241"/>
    </row>
    <row r="287" spans="3:26" ht="16.5">
      <c r="C287" s="101"/>
      <c r="D287" s="101"/>
      <c r="E287" s="101"/>
      <c r="F287" s="101"/>
      <c r="G287" s="101"/>
      <c r="H287" s="101"/>
      <c r="I287" s="101"/>
      <c r="J287" s="101"/>
      <c r="S287" s="101"/>
      <c r="T287" s="241"/>
      <c r="U287" s="241"/>
      <c r="V287" s="241"/>
      <c r="W287" s="241"/>
      <c r="X287" s="241"/>
      <c r="Y287" s="241"/>
      <c r="Z287" s="241"/>
    </row>
    <row r="288" spans="3:26" ht="16.5">
      <c r="C288" s="101"/>
      <c r="D288" s="101"/>
      <c r="E288" s="101"/>
      <c r="F288" s="101"/>
      <c r="G288" s="101"/>
      <c r="H288" s="101"/>
      <c r="I288" s="101"/>
      <c r="J288" s="101"/>
      <c r="S288" s="101"/>
      <c r="T288" s="241"/>
      <c r="U288" s="241"/>
      <c r="V288" s="241"/>
      <c r="W288" s="241"/>
      <c r="X288" s="241"/>
      <c r="Y288" s="241"/>
      <c r="Z288" s="241"/>
    </row>
    <row r="289" spans="3:26" ht="16.5">
      <c r="C289" s="101"/>
      <c r="D289" s="101"/>
      <c r="E289" s="101"/>
      <c r="F289" s="101"/>
      <c r="G289" s="101"/>
      <c r="H289" s="101"/>
      <c r="I289" s="101"/>
      <c r="J289" s="101"/>
      <c r="S289" s="101"/>
      <c r="T289" s="241"/>
      <c r="U289" s="241"/>
      <c r="V289" s="241"/>
      <c r="W289" s="241"/>
      <c r="X289" s="241"/>
      <c r="Y289" s="241"/>
      <c r="Z289" s="241"/>
    </row>
    <row r="290" spans="3:26" ht="16.5">
      <c r="C290" s="101"/>
      <c r="D290" s="101"/>
      <c r="E290" s="101"/>
      <c r="F290" s="101"/>
      <c r="G290" s="101"/>
      <c r="H290" s="101"/>
      <c r="I290" s="101"/>
      <c r="J290" s="101"/>
      <c r="S290" s="101"/>
      <c r="T290" s="241"/>
      <c r="U290" s="241"/>
      <c r="V290" s="241"/>
      <c r="W290" s="241"/>
      <c r="X290" s="241"/>
      <c r="Y290" s="241"/>
      <c r="Z290" s="241"/>
    </row>
    <row r="291" spans="3:26" ht="16.5">
      <c r="C291" s="101"/>
      <c r="D291" s="101"/>
      <c r="E291" s="101"/>
      <c r="F291" s="101"/>
      <c r="G291" s="101"/>
      <c r="H291" s="101"/>
      <c r="I291" s="101"/>
      <c r="J291" s="101"/>
      <c r="S291" s="101"/>
      <c r="T291" s="241"/>
      <c r="U291" s="241"/>
      <c r="V291" s="241"/>
      <c r="W291" s="241"/>
      <c r="X291" s="241"/>
      <c r="Y291" s="241"/>
      <c r="Z291" s="241"/>
    </row>
    <row r="292" spans="3:26" ht="16.5">
      <c r="C292" s="101"/>
      <c r="D292" s="101"/>
      <c r="E292" s="101"/>
      <c r="F292" s="101"/>
      <c r="G292" s="101"/>
      <c r="H292" s="101"/>
      <c r="I292" s="101"/>
      <c r="J292" s="101"/>
      <c r="S292" s="101"/>
      <c r="T292" s="241"/>
      <c r="U292" s="241"/>
      <c r="V292" s="241"/>
      <c r="W292" s="241"/>
      <c r="X292" s="241"/>
      <c r="Y292" s="241"/>
      <c r="Z292" s="241"/>
    </row>
    <row r="293" spans="3:26" ht="16.5">
      <c r="C293" s="101"/>
      <c r="D293" s="101"/>
      <c r="E293" s="101"/>
      <c r="F293" s="101"/>
      <c r="G293" s="101"/>
      <c r="H293" s="101"/>
      <c r="I293" s="101"/>
      <c r="J293" s="101"/>
      <c r="S293" s="101"/>
      <c r="T293" s="241"/>
      <c r="U293" s="241"/>
      <c r="V293" s="241"/>
      <c r="W293" s="241"/>
      <c r="X293" s="241"/>
      <c r="Y293" s="241"/>
      <c r="Z293" s="241"/>
    </row>
    <row r="294" spans="3:26" ht="16.5">
      <c r="C294" s="101"/>
      <c r="D294" s="101"/>
      <c r="E294" s="101"/>
      <c r="F294" s="101"/>
      <c r="G294" s="101"/>
      <c r="H294" s="101"/>
      <c r="I294" s="101"/>
      <c r="J294" s="101"/>
      <c r="S294" s="101"/>
      <c r="T294" s="241"/>
      <c r="U294" s="241"/>
      <c r="V294" s="241"/>
      <c r="W294" s="241"/>
      <c r="X294" s="241"/>
      <c r="Y294" s="241"/>
      <c r="Z294" s="241"/>
    </row>
    <row r="295" spans="3:26" ht="16.5">
      <c r="C295" s="101"/>
      <c r="D295" s="101"/>
      <c r="E295" s="101"/>
      <c r="F295" s="101"/>
      <c r="G295" s="101"/>
      <c r="H295" s="101"/>
      <c r="I295" s="101"/>
      <c r="J295" s="101"/>
      <c r="S295" s="101"/>
      <c r="T295" s="241"/>
      <c r="U295" s="241"/>
      <c r="V295" s="241"/>
      <c r="W295" s="241"/>
      <c r="X295" s="241"/>
      <c r="Y295" s="241"/>
      <c r="Z295" s="241"/>
    </row>
    <row r="296" spans="3:26" ht="16.5">
      <c r="C296" s="101"/>
      <c r="D296" s="101"/>
      <c r="E296" s="101"/>
      <c r="F296" s="101"/>
      <c r="G296" s="101"/>
      <c r="H296" s="101"/>
      <c r="I296" s="101"/>
      <c r="J296" s="101"/>
      <c r="S296" s="101"/>
      <c r="T296" s="241"/>
      <c r="U296" s="241"/>
      <c r="V296" s="241"/>
      <c r="W296" s="241"/>
      <c r="X296" s="241"/>
      <c r="Y296" s="241"/>
      <c r="Z296" s="241"/>
    </row>
    <row r="297" spans="3:26" ht="16.5">
      <c r="C297" s="101"/>
      <c r="D297" s="101"/>
      <c r="E297" s="101"/>
      <c r="F297" s="101"/>
      <c r="G297" s="101"/>
      <c r="H297" s="101"/>
      <c r="I297" s="101"/>
      <c r="J297" s="101"/>
      <c r="S297" s="101"/>
      <c r="T297" s="241"/>
      <c r="U297" s="241"/>
      <c r="V297" s="241"/>
      <c r="W297" s="241"/>
      <c r="X297" s="241"/>
      <c r="Y297" s="241"/>
      <c r="Z297" s="241"/>
    </row>
    <row r="298" spans="3:26" ht="16.5">
      <c r="C298" s="101"/>
      <c r="D298" s="101"/>
      <c r="E298" s="101"/>
      <c r="F298" s="101"/>
      <c r="G298" s="101"/>
      <c r="H298" s="101"/>
      <c r="I298" s="101"/>
      <c r="J298" s="101"/>
      <c r="S298" s="101"/>
      <c r="T298" s="241"/>
      <c r="U298" s="241"/>
      <c r="V298" s="241"/>
      <c r="W298" s="241"/>
      <c r="X298" s="241"/>
      <c r="Y298" s="241"/>
      <c r="Z298" s="241"/>
    </row>
    <row r="299" spans="3:26" ht="16.5">
      <c r="C299" s="101"/>
      <c r="D299" s="101"/>
      <c r="E299" s="101"/>
      <c r="F299" s="101"/>
      <c r="G299" s="101"/>
      <c r="H299" s="101"/>
      <c r="I299" s="101"/>
      <c r="J299" s="101"/>
      <c r="S299" s="101"/>
      <c r="T299" s="241"/>
      <c r="U299" s="241"/>
      <c r="V299" s="241"/>
      <c r="W299" s="241"/>
      <c r="X299" s="241"/>
      <c r="Y299" s="241"/>
      <c r="Z299" s="241"/>
    </row>
    <row r="300" spans="3:26" ht="16.5">
      <c r="C300" s="101"/>
      <c r="D300" s="101"/>
      <c r="E300" s="101"/>
      <c r="F300" s="101"/>
      <c r="G300" s="101"/>
      <c r="H300" s="101"/>
      <c r="I300" s="101"/>
      <c r="J300" s="101"/>
      <c r="S300" s="101"/>
      <c r="T300" s="241"/>
      <c r="U300" s="241"/>
      <c r="V300" s="241"/>
      <c r="W300" s="241"/>
      <c r="X300" s="241"/>
      <c r="Y300" s="241"/>
      <c r="Z300" s="241"/>
    </row>
    <row r="301" spans="3:26" ht="16.5">
      <c r="C301" s="101"/>
      <c r="D301" s="101"/>
      <c r="E301" s="101"/>
      <c r="F301" s="101"/>
      <c r="G301" s="101"/>
      <c r="H301" s="101"/>
      <c r="I301" s="101"/>
      <c r="J301" s="101"/>
      <c r="S301" s="101"/>
      <c r="T301" s="241"/>
      <c r="U301" s="241"/>
      <c r="V301" s="241"/>
      <c r="W301" s="241"/>
      <c r="X301" s="241"/>
      <c r="Y301" s="241"/>
      <c r="Z301" s="241"/>
    </row>
    <row r="302" spans="3:26" ht="16.5">
      <c r="C302" s="101"/>
      <c r="D302" s="101"/>
      <c r="E302" s="101"/>
      <c r="F302" s="101"/>
      <c r="G302" s="101"/>
      <c r="H302" s="101"/>
      <c r="I302" s="101"/>
      <c r="J302" s="101"/>
      <c r="S302" s="101"/>
      <c r="T302" s="241"/>
      <c r="U302" s="241"/>
      <c r="V302" s="241"/>
      <c r="W302" s="241"/>
      <c r="X302" s="241"/>
      <c r="Y302" s="241"/>
      <c r="Z302" s="241"/>
    </row>
    <row r="303" spans="3:26" ht="16.5">
      <c r="C303" s="101"/>
      <c r="D303" s="101"/>
      <c r="E303" s="101"/>
      <c r="F303" s="101"/>
      <c r="G303" s="101"/>
      <c r="H303" s="101"/>
      <c r="I303" s="101"/>
      <c r="J303" s="101"/>
      <c r="S303" s="101"/>
      <c r="T303" s="241"/>
      <c r="U303" s="241"/>
      <c r="V303" s="241"/>
      <c r="W303" s="241"/>
      <c r="X303" s="241"/>
      <c r="Y303" s="241"/>
      <c r="Z303" s="241"/>
    </row>
    <row r="304" spans="3:26" ht="16.5">
      <c r="C304" s="101"/>
      <c r="D304" s="101"/>
      <c r="E304" s="101"/>
      <c r="F304" s="101"/>
      <c r="G304" s="101"/>
      <c r="H304" s="101"/>
      <c r="I304" s="101"/>
      <c r="J304" s="101"/>
      <c r="S304" s="101"/>
      <c r="T304" s="241"/>
      <c r="U304" s="241"/>
      <c r="V304" s="241"/>
      <c r="W304" s="241"/>
      <c r="X304" s="241"/>
      <c r="Y304" s="241"/>
      <c r="Z304" s="241"/>
    </row>
    <row r="305" spans="3:26" ht="16.5">
      <c r="C305" s="101"/>
      <c r="D305" s="101"/>
      <c r="E305" s="101"/>
      <c r="F305" s="101"/>
      <c r="G305" s="101"/>
      <c r="H305" s="101"/>
      <c r="I305" s="101"/>
      <c r="J305" s="101"/>
      <c r="S305" s="101"/>
      <c r="T305" s="241"/>
      <c r="U305" s="241"/>
      <c r="V305" s="241"/>
      <c r="W305" s="241"/>
      <c r="X305" s="241"/>
      <c r="Y305" s="241"/>
      <c r="Z305" s="241"/>
    </row>
    <row r="306" spans="3:26" ht="16.5">
      <c r="C306" s="101"/>
      <c r="D306" s="101"/>
      <c r="E306" s="101"/>
      <c r="F306" s="101"/>
      <c r="G306" s="101"/>
      <c r="H306" s="101"/>
      <c r="I306" s="101"/>
      <c r="J306" s="101"/>
      <c r="S306" s="101"/>
      <c r="T306" s="241"/>
      <c r="U306" s="241"/>
      <c r="V306" s="241"/>
      <c r="W306" s="241"/>
      <c r="X306" s="241"/>
      <c r="Y306" s="241"/>
      <c r="Z306" s="241"/>
    </row>
    <row r="307" spans="3:26" ht="16.5">
      <c r="C307" s="101"/>
      <c r="D307" s="101"/>
      <c r="E307" s="101"/>
      <c r="F307" s="101"/>
      <c r="G307" s="101"/>
      <c r="H307" s="101"/>
      <c r="I307" s="101"/>
      <c r="J307" s="101"/>
      <c r="S307" s="101"/>
      <c r="T307" s="241"/>
      <c r="U307" s="241"/>
      <c r="V307" s="241"/>
      <c r="W307" s="241"/>
      <c r="X307" s="241"/>
      <c r="Y307" s="241"/>
      <c r="Z307" s="241"/>
    </row>
    <row r="308" spans="3:26" ht="16.5">
      <c r="C308" s="101"/>
      <c r="D308" s="101"/>
      <c r="E308" s="101"/>
      <c r="F308" s="101"/>
      <c r="G308" s="101"/>
      <c r="H308" s="101"/>
      <c r="I308" s="101"/>
      <c r="J308" s="101"/>
      <c r="S308" s="101"/>
      <c r="T308" s="241"/>
      <c r="U308" s="241"/>
      <c r="V308" s="241"/>
      <c r="W308" s="241"/>
      <c r="X308" s="241"/>
      <c r="Y308" s="241"/>
      <c r="Z308" s="241"/>
    </row>
    <row r="309" spans="3:26" ht="16.5">
      <c r="C309" s="101"/>
      <c r="D309" s="101"/>
      <c r="E309" s="101"/>
      <c r="F309" s="101"/>
      <c r="G309" s="101"/>
      <c r="H309" s="101"/>
      <c r="I309" s="101"/>
      <c r="J309" s="101"/>
      <c r="S309" s="101"/>
      <c r="T309" s="241"/>
      <c r="U309" s="241"/>
      <c r="V309" s="241"/>
      <c r="W309" s="241"/>
      <c r="X309" s="241"/>
      <c r="Y309" s="241"/>
      <c r="Z309" s="241"/>
    </row>
    <row r="310" spans="3:26" ht="16.5">
      <c r="C310" s="101"/>
      <c r="D310" s="101"/>
      <c r="E310" s="101"/>
      <c r="F310" s="101"/>
      <c r="G310" s="101"/>
      <c r="H310" s="101"/>
      <c r="I310" s="101"/>
      <c r="J310" s="101"/>
      <c r="S310" s="101"/>
      <c r="T310" s="241"/>
      <c r="U310" s="241"/>
      <c r="V310" s="241"/>
      <c r="W310" s="241"/>
      <c r="X310" s="241"/>
      <c r="Y310" s="241"/>
      <c r="Z310" s="241"/>
    </row>
    <row r="311" spans="3:26" ht="16.5">
      <c r="C311" s="101"/>
      <c r="D311" s="101"/>
      <c r="E311" s="101"/>
      <c r="F311" s="101"/>
      <c r="G311" s="101"/>
      <c r="H311" s="101"/>
      <c r="I311" s="101"/>
      <c r="J311" s="101"/>
      <c r="S311" s="101"/>
      <c r="T311" s="241"/>
      <c r="U311" s="241"/>
      <c r="V311" s="241"/>
      <c r="W311" s="241"/>
      <c r="X311" s="241"/>
      <c r="Y311" s="241"/>
      <c r="Z311" s="241"/>
    </row>
    <row r="312" spans="3:26" ht="16.5">
      <c r="C312" s="101"/>
      <c r="D312" s="101"/>
      <c r="E312" s="101"/>
      <c r="F312" s="101"/>
      <c r="G312" s="101"/>
      <c r="H312" s="101"/>
      <c r="I312" s="101"/>
      <c r="J312" s="101"/>
      <c r="S312" s="101"/>
      <c r="T312" s="241"/>
      <c r="U312" s="241"/>
      <c r="V312" s="241"/>
      <c r="W312" s="241"/>
      <c r="X312" s="241"/>
      <c r="Y312" s="241"/>
      <c r="Z312" s="241"/>
    </row>
    <row r="313" spans="3:26" ht="16.5">
      <c r="C313" s="101"/>
      <c r="D313" s="101"/>
      <c r="E313" s="101"/>
      <c r="F313" s="101"/>
      <c r="G313" s="101"/>
      <c r="H313" s="101"/>
      <c r="I313" s="101"/>
      <c r="J313" s="101"/>
      <c r="S313" s="101"/>
      <c r="T313" s="241"/>
      <c r="U313" s="241"/>
      <c r="V313" s="241"/>
      <c r="W313" s="241"/>
      <c r="X313" s="241"/>
      <c r="Y313" s="241"/>
      <c r="Z313" s="241"/>
    </row>
    <row r="314" spans="3:26" ht="16.5">
      <c r="C314" s="101"/>
      <c r="D314" s="101"/>
      <c r="E314" s="101"/>
      <c r="F314" s="101"/>
      <c r="G314" s="101"/>
      <c r="H314" s="101"/>
      <c r="I314" s="101"/>
      <c r="J314" s="101"/>
      <c r="S314" s="101"/>
      <c r="T314" s="241"/>
      <c r="U314" s="241"/>
      <c r="V314" s="241"/>
      <c r="W314" s="241"/>
      <c r="X314" s="241"/>
      <c r="Y314" s="241"/>
      <c r="Z314" s="241"/>
    </row>
    <row r="315" spans="3:26" ht="16.5">
      <c r="C315" s="101"/>
      <c r="D315" s="101"/>
      <c r="E315" s="101"/>
      <c r="F315" s="101"/>
      <c r="G315" s="101"/>
      <c r="H315" s="101"/>
      <c r="I315" s="101"/>
      <c r="J315" s="101"/>
      <c r="S315" s="101"/>
      <c r="T315" s="241"/>
      <c r="U315" s="241"/>
      <c r="V315" s="241"/>
      <c r="W315" s="241"/>
      <c r="X315" s="241"/>
      <c r="Y315" s="241"/>
      <c r="Z315" s="241"/>
    </row>
    <row r="316" spans="3:26" ht="16.5">
      <c r="C316" s="101"/>
      <c r="D316" s="101"/>
      <c r="E316" s="101"/>
      <c r="F316" s="101"/>
      <c r="G316" s="101"/>
      <c r="H316" s="101"/>
      <c r="I316" s="101"/>
      <c r="J316" s="101"/>
      <c r="S316" s="101"/>
      <c r="T316" s="241"/>
      <c r="U316" s="241"/>
      <c r="V316" s="241"/>
      <c r="W316" s="241"/>
      <c r="X316" s="241"/>
      <c r="Y316" s="241"/>
      <c r="Z316" s="241"/>
    </row>
    <row r="317" spans="3:26" ht="16.5">
      <c r="C317" s="101"/>
      <c r="D317" s="101"/>
      <c r="E317" s="101"/>
      <c r="F317" s="101"/>
      <c r="G317" s="101"/>
      <c r="H317" s="101"/>
      <c r="I317" s="101"/>
      <c r="J317" s="101"/>
      <c r="S317" s="101"/>
      <c r="T317" s="241"/>
      <c r="U317" s="241"/>
      <c r="V317" s="241"/>
      <c r="W317" s="241"/>
      <c r="X317" s="241"/>
      <c r="Y317" s="241"/>
      <c r="Z317" s="241"/>
    </row>
    <row r="318" spans="3:26" ht="16.5">
      <c r="C318" s="101"/>
      <c r="D318" s="101"/>
      <c r="E318" s="101"/>
      <c r="F318" s="101"/>
      <c r="G318" s="101"/>
      <c r="H318" s="101"/>
      <c r="I318" s="101"/>
      <c r="J318" s="101"/>
      <c r="S318" s="101"/>
      <c r="T318" s="241"/>
      <c r="U318" s="241"/>
      <c r="V318" s="241"/>
      <c r="W318" s="241"/>
      <c r="X318" s="241"/>
      <c r="Y318" s="241"/>
      <c r="Z318" s="241"/>
    </row>
    <row r="319" spans="3:26" ht="16.5">
      <c r="C319" s="101"/>
      <c r="D319" s="101"/>
      <c r="E319" s="101"/>
      <c r="F319" s="101"/>
      <c r="G319" s="101"/>
      <c r="H319" s="101"/>
      <c r="I319" s="101"/>
      <c r="J319" s="101"/>
      <c r="S319" s="101"/>
      <c r="T319" s="241"/>
      <c r="U319" s="241"/>
      <c r="V319" s="241"/>
      <c r="W319" s="241"/>
      <c r="X319" s="241"/>
      <c r="Y319" s="241"/>
      <c r="Z319" s="241"/>
    </row>
    <row r="320" spans="3:26" ht="16.5">
      <c r="C320" s="101"/>
      <c r="D320" s="101"/>
      <c r="E320" s="101"/>
      <c r="F320" s="101"/>
      <c r="G320" s="101"/>
      <c r="H320" s="101"/>
      <c r="I320" s="101"/>
      <c r="J320" s="101"/>
      <c r="S320" s="101"/>
      <c r="T320" s="241"/>
      <c r="U320" s="241"/>
      <c r="V320" s="241"/>
      <c r="W320" s="241"/>
      <c r="X320" s="241"/>
      <c r="Y320" s="241"/>
      <c r="Z320" s="241"/>
    </row>
    <row r="321" spans="3:26" ht="16.5">
      <c r="C321" s="101"/>
      <c r="D321" s="101"/>
      <c r="E321" s="101"/>
      <c r="F321" s="101"/>
      <c r="G321" s="101"/>
      <c r="H321" s="101"/>
      <c r="I321" s="101"/>
      <c r="J321" s="101"/>
      <c r="S321" s="101"/>
      <c r="T321" s="241"/>
      <c r="U321" s="241"/>
      <c r="V321" s="241"/>
      <c r="W321" s="241"/>
      <c r="X321" s="241"/>
      <c r="Y321" s="241"/>
      <c r="Z321" s="241"/>
    </row>
    <row r="322" spans="3:26" ht="16.5">
      <c r="C322" s="101"/>
      <c r="D322" s="101"/>
      <c r="E322" s="101"/>
      <c r="F322" s="101"/>
      <c r="G322" s="101"/>
      <c r="H322" s="101"/>
      <c r="I322" s="101"/>
      <c r="J322" s="101"/>
      <c r="S322" s="101"/>
      <c r="T322" s="241"/>
      <c r="U322" s="241"/>
      <c r="V322" s="241"/>
      <c r="W322" s="241"/>
      <c r="X322" s="241"/>
      <c r="Y322" s="241"/>
      <c r="Z322" s="241"/>
    </row>
    <row r="323" spans="3:26" ht="16.5">
      <c r="C323" s="101"/>
      <c r="D323" s="101"/>
      <c r="E323" s="101"/>
      <c r="F323" s="101"/>
      <c r="G323" s="101"/>
      <c r="H323" s="101"/>
      <c r="I323" s="101"/>
      <c r="J323" s="101"/>
      <c r="S323" s="101"/>
      <c r="T323" s="241"/>
      <c r="U323" s="241"/>
      <c r="V323" s="241"/>
      <c r="W323" s="241"/>
      <c r="X323" s="241"/>
      <c r="Y323" s="241"/>
      <c r="Z323" s="241"/>
    </row>
    <row r="324" spans="3:26" ht="16.5">
      <c r="C324" s="101"/>
      <c r="D324" s="101"/>
      <c r="E324" s="101"/>
      <c r="F324" s="101"/>
      <c r="G324" s="101"/>
      <c r="H324" s="101"/>
      <c r="I324" s="101"/>
      <c r="J324" s="101"/>
      <c r="S324" s="101"/>
      <c r="T324" s="241"/>
      <c r="U324" s="241"/>
      <c r="V324" s="241"/>
      <c r="W324" s="241"/>
      <c r="X324" s="241"/>
      <c r="Y324" s="241"/>
      <c r="Z324" s="241"/>
    </row>
    <row r="325" spans="3:26" ht="16.5">
      <c r="C325" s="101"/>
      <c r="D325" s="101"/>
      <c r="E325" s="101"/>
      <c r="F325" s="101"/>
      <c r="G325" s="101"/>
      <c r="H325" s="101"/>
      <c r="I325" s="101"/>
      <c r="J325" s="101"/>
      <c r="S325" s="101"/>
      <c r="T325" s="241"/>
      <c r="U325" s="241"/>
      <c r="V325" s="241"/>
      <c r="W325" s="241"/>
      <c r="X325" s="241"/>
      <c r="Y325" s="241"/>
      <c r="Z325" s="241"/>
    </row>
    <row r="326" spans="3:26" ht="16.5">
      <c r="C326" s="101"/>
      <c r="D326" s="101"/>
      <c r="E326" s="101"/>
      <c r="F326" s="101"/>
      <c r="G326" s="101"/>
      <c r="H326" s="101"/>
      <c r="I326" s="101"/>
      <c r="J326" s="101"/>
      <c r="S326" s="101"/>
      <c r="T326" s="241"/>
      <c r="U326" s="241"/>
      <c r="V326" s="241"/>
      <c r="W326" s="241"/>
      <c r="X326" s="241"/>
      <c r="Y326" s="241"/>
      <c r="Z326" s="241"/>
    </row>
    <row r="327" spans="3:26" ht="16.5">
      <c r="C327" s="101"/>
      <c r="D327" s="101"/>
      <c r="E327" s="101"/>
      <c r="F327" s="101"/>
      <c r="G327" s="101"/>
      <c r="H327" s="101"/>
      <c r="I327" s="101"/>
      <c r="J327" s="101"/>
      <c r="S327" s="101"/>
      <c r="T327" s="241"/>
      <c r="U327" s="241"/>
      <c r="V327" s="241"/>
      <c r="W327" s="241"/>
      <c r="X327" s="241"/>
      <c r="Y327" s="241"/>
      <c r="Z327" s="241"/>
    </row>
    <row r="328" spans="3:26" ht="16.5">
      <c r="C328" s="101"/>
      <c r="D328" s="101"/>
      <c r="E328" s="101"/>
      <c r="F328" s="101"/>
      <c r="G328" s="101"/>
      <c r="H328" s="101"/>
      <c r="I328" s="101"/>
      <c r="J328" s="101"/>
      <c r="S328" s="101"/>
      <c r="T328" s="241"/>
      <c r="U328" s="241"/>
      <c r="V328" s="241"/>
      <c r="W328" s="241"/>
      <c r="X328" s="241"/>
      <c r="Y328" s="241"/>
      <c r="Z328" s="241"/>
    </row>
    <row r="329" spans="3:26" ht="16.5">
      <c r="C329" s="101"/>
      <c r="D329" s="101"/>
      <c r="E329" s="101"/>
      <c r="F329" s="101"/>
      <c r="G329" s="101"/>
      <c r="H329" s="101"/>
      <c r="I329" s="101"/>
      <c r="J329" s="101"/>
      <c r="S329" s="101"/>
      <c r="T329" s="241"/>
      <c r="U329" s="241"/>
      <c r="V329" s="241"/>
      <c r="W329" s="241"/>
      <c r="X329" s="241"/>
      <c r="Y329" s="241"/>
      <c r="Z329" s="241"/>
    </row>
    <row r="330" spans="3:26" ht="16.5">
      <c r="C330" s="101"/>
      <c r="D330" s="101"/>
      <c r="E330" s="101"/>
      <c r="F330" s="101"/>
      <c r="G330" s="101"/>
      <c r="H330" s="101"/>
      <c r="I330" s="101"/>
      <c r="J330" s="101"/>
      <c r="S330" s="101"/>
      <c r="T330" s="241"/>
      <c r="U330" s="241"/>
      <c r="V330" s="241"/>
      <c r="W330" s="241"/>
      <c r="X330" s="241"/>
      <c r="Y330" s="241"/>
      <c r="Z330" s="241"/>
    </row>
    <row r="331" spans="3:26" ht="16.5">
      <c r="C331" s="101"/>
      <c r="D331" s="101"/>
      <c r="E331" s="101"/>
      <c r="F331" s="101"/>
      <c r="G331" s="101"/>
      <c r="H331" s="101"/>
      <c r="I331" s="101"/>
      <c r="J331" s="101"/>
      <c r="S331" s="101"/>
      <c r="T331" s="241"/>
      <c r="U331" s="241"/>
      <c r="V331" s="241"/>
      <c r="W331" s="241"/>
      <c r="X331" s="241"/>
      <c r="Y331" s="241"/>
      <c r="Z331" s="241"/>
    </row>
    <row r="332" spans="3:26" ht="16.5">
      <c r="C332" s="101"/>
      <c r="D332" s="101"/>
      <c r="E332" s="101"/>
      <c r="F332" s="101"/>
      <c r="G332" s="101"/>
      <c r="H332" s="101"/>
      <c r="I332" s="101"/>
      <c r="J332" s="101"/>
      <c r="S332" s="101"/>
      <c r="T332" s="241"/>
      <c r="U332" s="241"/>
      <c r="V332" s="241"/>
      <c r="W332" s="241"/>
      <c r="X332" s="241"/>
      <c r="Y332" s="241"/>
      <c r="Z332" s="241"/>
    </row>
    <row r="333" spans="3:26" ht="16.5">
      <c r="C333" s="101"/>
      <c r="D333" s="101"/>
      <c r="E333" s="101"/>
      <c r="F333" s="101"/>
      <c r="G333" s="101"/>
      <c r="H333" s="101"/>
      <c r="I333" s="101"/>
      <c r="J333" s="101"/>
      <c r="S333" s="101"/>
      <c r="T333" s="241"/>
      <c r="U333" s="241"/>
      <c r="V333" s="241"/>
      <c r="W333" s="241"/>
      <c r="X333" s="241"/>
      <c r="Y333" s="241"/>
      <c r="Z333" s="241"/>
    </row>
    <row r="334" spans="3:26" ht="16.5">
      <c r="C334" s="101"/>
      <c r="D334" s="101"/>
      <c r="E334" s="101"/>
      <c r="F334" s="101"/>
      <c r="G334" s="101"/>
      <c r="H334" s="101"/>
      <c r="I334" s="101"/>
      <c r="J334" s="101"/>
      <c r="S334" s="101"/>
      <c r="T334" s="241"/>
      <c r="U334" s="241"/>
      <c r="V334" s="241"/>
      <c r="W334" s="241"/>
      <c r="X334" s="241"/>
      <c r="Y334" s="241"/>
      <c r="Z334" s="241"/>
    </row>
    <row r="335" spans="3:26" ht="16.5">
      <c r="C335" s="101"/>
      <c r="D335" s="101"/>
      <c r="E335" s="101"/>
      <c r="F335" s="101"/>
      <c r="G335" s="101"/>
      <c r="H335" s="101"/>
      <c r="I335" s="101"/>
      <c r="J335" s="101"/>
      <c r="S335" s="101"/>
      <c r="T335" s="241"/>
      <c r="U335" s="241"/>
      <c r="V335" s="241"/>
      <c r="W335" s="241"/>
      <c r="X335" s="241"/>
      <c r="Y335" s="241"/>
      <c r="Z335" s="241"/>
    </row>
    <row r="336" spans="3:26" ht="16.5">
      <c r="C336" s="101"/>
      <c r="D336" s="101"/>
      <c r="E336" s="101"/>
      <c r="F336" s="101"/>
      <c r="G336" s="101"/>
      <c r="H336" s="101"/>
      <c r="I336" s="101"/>
      <c r="J336" s="101"/>
      <c r="S336" s="101"/>
      <c r="T336" s="241"/>
      <c r="U336" s="241"/>
      <c r="V336" s="241"/>
      <c r="W336" s="241"/>
      <c r="X336" s="241"/>
      <c r="Y336" s="241"/>
      <c r="Z336" s="241"/>
    </row>
    <row r="337" spans="3:26" ht="16.5">
      <c r="C337" s="101"/>
      <c r="D337" s="101"/>
      <c r="E337" s="101"/>
      <c r="F337" s="101"/>
      <c r="G337" s="101"/>
      <c r="H337" s="101"/>
      <c r="I337" s="101"/>
      <c r="J337" s="101"/>
      <c r="S337" s="101"/>
      <c r="T337" s="241"/>
      <c r="U337" s="241"/>
      <c r="V337" s="241"/>
      <c r="W337" s="241"/>
      <c r="X337" s="241"/>
      <c r="Y337" s="241"/>
      <c r="Z337" s="241"/>
    </row>
    <row r="338" spans="3:26" ht="16.5">
      <c r="C338" s="101"/>
      <c r="D338" s="101"/>
      <c r="E338" s="101"/>
      <c r="F338" s="101"/>
      <c r="G338" s="101"/>
      <c r="H338" s="101"/>
      <c r="I338" s="101"/>
      <c r="J338" s="101"/>
      <c r="S338" s="101"/>
      <c r="T338" s="241"/>
      <c r="U338" s="241"/>
      <c r="V338" s="241"/>
      <c r="W338" s="241"/>
      <c r="X338" s="241"/>
      <c r="Y338" s="241"/>
      <c r="Z338" s="241"/>
    </row>
    <row r="339" spans="3:26" ht="16.5">
      <c r="C339" s="101"/>
      <c r="D339" s="101"/>
      <c r="E339" s="101"/>
      <c r="F339" s="101"/>
      <c r="G339" s="101"/>
      <c r="H339" s="101"/>
      <c r="I339" s="101"/>
      <c r="J339" s="101"/>
      <c r="S339" s="101"/>
      <c r="T339" s="241"/>
      <c r="U339" s="241"/>
      <c r="V339" s="241"/>
      <c r="W339" s="241"/>
      <c r="X339" s="241"/>
      <c r="Y339" s="241"/>
      <c r="Z339" s="241"/>
    </row>
    <row r="340" spans="3:26" ht="16.5">
      <c r="C340" s="101"/>
      <c r="D340" s="101"/>
      <c r="E340" s="101"/>
      <c r="F340" s="101"/>
      <c r="G340" s="101"/>
      <c r="H340" s="101"/>
      <c r="I340" s="101"/>
      <c r="J340" s="101"/>
      <c r="S340" s="101"/>
      <c r="T340" s="241"/>
      <c r="U340" s="241"/>
      <c r="V340" s="241"/>
      <c r="W340" s="241"/>
      <c r="X340" s="241"/>
      <c r="Y340" s="241"/>
      <c r="Z340" s="241"/>
    </row>
    <row r="341" spans="3:26" ht="16.5">
      <c r="C341" s="101"/>
      <c r="D341" s="101"/>
      <c r="E341" s="101"/>
      <c r="F341" s="101"/>
      <c r="G341" s="101"/>
      <c r="H341" s="101"/>
      <c r="I341" s="101"/>
      <c r="J341" s="101"/>
      <c r="S341" s="101"/>
      <c r="T341" s="241"/>
      <c r="U341" s="241"/>
      <c r="V341" s="241"/>
      <c r="W341" s="241"/>
      <c r="X341" s="241"/>
      <c r="Y341" s="241"/>
      <c r="Z341" s="241"/>
    </row>
    <row r="342" spans="3:26" ht="16.5">
      <c r="C342" s="101"/>
      <c r="D342" s="101"/>
      <c r="E342" s="101"/>
      <c r="F342" s="101"/>
      <c r="G342" s="101"/>
      <c r="H342" s="101"/>
      <c r="I342" s="101"/>
      <c r="J342" s="101"/>
      <c r="S342" s="101"/>
      <c r="T342" s="241"/>
      <c r="U342" s="241"/>
      <c r="V342" s="241"/>
      <c r="W342" s="241"/>
      <c r="X342" s="241"/>
      <c r="Y342" s="241"/>
      <c r="Z342" s="241"/>
    </row>
    <row r="343" spans="3:26" ht="16.5">
      <c r="C343" s="101"/>
      <c r="D343" s="101"/>
      <c r="E343" s="101"/>
      <c r="F343" s="101"/>
      <c r="G343" s="101"/>
      <c r="H343" s="101"/>
      <c r="I343" s="101"/>
      <c r="J343" s="101"/>
      <c r="S343" s="101"/>
      <c r="T343" s="241"/>
      <c r="U343" s="241"/>
      <c r="V343" s="241"/>
      <c r="W343" s="241"/>
      <c r="X343" s="241"/>
      <c r="Y343" s="241"/>
      <c r="Z343" s="241"/>
    </row>
    <row r="344" spans="3:26" ht="16.5">
      <c r="C344" s="101"/>
      <c r="D344" s="101"/>
      <c r="E344" s="101"/>
      <c r="F344" s="101"/>
      <c r="G344" s="101"/>
      <c r="H344" s="101"/>
      <c r="I344" s="101"/>
      <c r="J344" s="101"/>
      <c r="S344" s="101"/>
      <c r="T344" s="241"/>
      <c r="U344" s="241"/>
      <c r="V344" s="241"/>
      <c r="W344" s="241"/>
      <c r="X344" s="241"/>
      <c r="Y344" s="241"/>
      <c r="Z344" s="241"/>
    </row>
    <row r="345" spans="3:26" ht="16.5">
      <c r="C345" s="101"/>
      <c r="D345" s="101"/>
      <c r="E345" s="101"/>
      <c r="F345" s="101"/>
      <c r="G345" s="101"/>
      <c r="H345" s="101"/>
      <c r="I345" s="101"/>
      <c r="J345" s="101"/>
      <c r="S345" s="101"/>
      <c r="T345" s="241"/>
      <c r="U345" s="241"/>
      <c r="V345" s="241"/>
      <c r="W345" s="241"/>
      <c r="X345" s="241"/>
      <c r="Y345" s="241"/>
      <c r="Z345" s="241"/>
    </row>
    <row r="346" spans="3:26" ht="16.5">
      <c r="C346" s="101"/>
      <c r="D346" s="101"/>
      <c r="E346" s="101"/>
      <c r="F346" s="101"/>
      <c r="G346" s="101"/>
      <c r="H346" s="101"/>
      <c r="I346" s="101"/>
      <c r="J346" s="101"/>
      <c r="S346" s="101"/>
      <c r="T346" s="241"/>
      <c r="U346" s="241"/>
      <c r="V346" s="241"/>
      <c r="W346" s="241"/>
      <c r="X346" s="241"/>
      <c r="Y346" s="241"/>
      <c r="Z346" s="241"/>
    </row>
    <row r="347" spans="3:26" ht="16.5">
      <c r="C347" s="101"/>
      <c r="D347" s="101"/>
      <c r="E347" s="101"/>
      <c r="F347" s="101"/>
      <c r="G347" s="101"/>
      <c r="H347" s="101"/>
      <c r="I347" s="101"/>
      <c r="J347" s="101"/>
      <c r="S347" s="101"/>
      <c r="T347" s="241"/>
      <c r="U347" s="241"/>
      <c r="V347" s="241"/>
      <c r="W347" s="241"/>
      <c r="X347" s="241"/>
      <c r="Y347" s="241"/>
      <c r="Z347" s="241"/>
    </row>
    <row r="348" spans="3:26" ht="16.5">
      <c r="C348" s="101"/>
      <c r="D348" s="101"/>
      <c r="E348" s="101"/>
      <c r="F348" s="101"/>
      <c r="G348" s="101"/>
      <c r="H348" s="101"/>
      <c r="I348" s="101"/>
      <c r="J348" s="101"/>
      <c r="S348" s="101"/>
      <c r="T348" s="241"/>
      <c r="U348" s="241"/>
      <c r="V348" s="241"/>
      <c r="W348" s="241"/>
      <c r="X348" s="241"/>
      <c r="Y348" s="241"/>
      <c r="Z348" s="241"/>
    </row>
    <row r="349" spans="3:26" ht="16.5">
      <c r="C349" s="101"/>
      <c r="D349" s="101"/>
      <c r="E349" s="101"/>
      <c r="F349" s="101"/>
      <c r="G349" s="101"/>
      <c r="H349" s="101"/>
      <c r="I349" s="101"/>
      <c r="J349" s="101"/>
      <c r="S349" s="101"/>
      <c r="T349" s="241"/>
      <c r="U349" s="241"/>
      <c r="V349" s="241"/>
      <c r="W349" s="241"/>
      <c r="X349" s="241"/>
      <c r="Y349" s="241"/>
      <c r="Z349" s="241"/>
    </row>
    <row r="350" spans="3:26" ht="16.5">
      <c r="C350" s="101"/>
      <c r="D350" s="101"/>
      <c r="E350" s="101"/>
      <c r="F350" s="101"/>
      <c r="G350" s="101"/>
      <c r="H350" s="101"/>
      <c r="I350" s="101"/>
      <c r="J350" s="101"/>
      <c r="S350" s="101"/>
      <c r="T350" s="241"/>
      <c r="U350" s="241"/>
      <c r="V350" s="241"/>
      <c r="W350" s="241"/>
      <c r="X350" s="241"/>
      <c r="Y350" s="241"/>
      <c r="Z350" s="241"/>
    </row>
    <row r="351" spans="3:26" ht="16.5">
      <c r="C351" s="101"/>
      <c r="D351" s="101"/>
      <c r="E351" s="101"/>
      <c r="F351" s="101"/>
      <c r="G351" s="101"/>
      <c r="H351" s="101"/>
      <c r="I351" s="101"/>
      <c r="J351" s="101"/>
      <c r="S351" s="101"/>
      <c r="T351" s="241"/>
      <c r="U351" s="241"/>
      <c r="V351" s="241"/>
      <c r="W351" s="241"/>
      <c r="X351" s="241"/>
      <c r="Y351" s="241"/>
      <c r="Z351" s="241"/>
    </row>
    <row r="352" spans="3:26" ht="16.5">
      <c r="C352" s="101"/>
      <c r="D352" s="101"/>
      <c r="E352" s="101"/>
      <c r="F352" s="101"/>
      <c r="G352" s="101"/>
      <c r="H352" s="101"/>
      <c r="I352" s="101"/>
      <c r="J352" s="101"/>
      <c r="S352" s="101"/>
      <c r="T352" s="241"/>
      <c r="U352" s="241"/>
      <c r="V352" s="241"/>
      <c r="W352" s="241"/>
      <c r="X352" s="241"/>
      <c r="Y352" s="241"/>
      <c r="Z352" s="241"/>
    </row>
    <row r="353" spans="3:26" ht="16.5">
      <c r="C353" s="101"/>
      <c r="D353" s="101"/>
      <c r="E353" s="101"/>
      <c r="F353" s="101"/>
      <c r="G353" s="101"/>
      <c r="H353" s="101"/>
      <c r="I353" s="101"/>
      <c r="J353" s="101"/>
      <c r="S353" s="101"/>
      <c r="T353" s="241"/>
      <c r="U353" s="241"/>
      <c r="V353" s="241"/>
      <c r="W353" s="241"/>
      <c r="X353" s="241"/>
      <c r="Y353" s="241"/>
      <c r="Z353" s="241"/>
    </row>
    <row r="354" spans="3:26" ht="16.5">
      <c r="C354" s="101"/>
      <c r="D354" s="101"/>
      <c r="E354" s="101"/>
      <c r="F354" s="101"/>
      <c r="G354" s="101"/>
      <c r="H354" s="101"/>
      <c r="I354" s="101"/>
      <c r="J354" s="101"/>
      <c r="S354" s="101"/>
      <c r="T354" s="241"/>
      <c r="U354" s="241"/>
      <c r="V354" s="241"/>
      <c r="W354" s="241"/>
      <c r="X354" s="241"/>
      <c r="Y354" s="241"/>
      <c r="Z354" s="241"/>
    </row>
    <row r="355" spans="3:26" ht="16.5">
      <c r="C355" s="101"/>
      <c r="D355" s="101"/>
      <c r="E355" s="101"/>
      <c r="F355" s="101"/>
      <c r="G355" s="101"/>
      <c r="H355" s="101"/>
      <c r="I355" s="101"/>
      <c r="J355" s="101"/>
      <c r="S355" s="101"/>
      <c r="T355" s="241"/>
      <c r="U355" s="241"/>
      <c r="V355" s="241"/>
      <c r="W355" s="241"/>
      <c r="X355" s="241"/>
      <c r="Y355" s="241"/>
      <c r="Z355" s="241"/>
    </row>
    <row r="356" spans="3:26" ht="16.5">
      <c r="C356" s="101"/>
      <c r="D356" s="101"/>
      <c r="E356" s="101"/>
      <c r="F356" s="101"/>
      <c r="G356" s="101"/>
      <c r="H356" s="101"/>
      <c r="I356" s="101"/>
      <c r="J356" s="101"/>
      <c r="S356" s="101"/>
      <c r="T356" s="241"/>
      <c r="U356" s="241"/>
      <c r="V356" s="241"/>
      <c r="W356" s="241"/>
      <c r="X356" s="241"/>
      <c r="Y356" s="241"/>
      <c r="Z356" s="241"/>
    </row>
    <row r="357" spans="3:26" ht="16.5">
      <c r="C357" s="101"/>
      <c r="D357" s="101"/>
      <c r="E357" s="101"/>
      <c r="F357" s="101"/>
      <c r="G357" s="101"/>
      <c r="H357" s="101"/>
      <c r="I357" s="101"/>
      <c r="J357" s="101"/>
      <c r="S357" s="101"/>
      <c r="T357" s="241"/>
      <c r="U357" s="241"/>
      <c r="V357" s="241"/>
      <c r="W357" s="241"/>
      <c r="X357" s="241"/>
      <c r="Y357" s="241"/>
      <c r="Z357" s="241"/>
    </row>
    <row r="358" spans="3:26" ht="16.5">
      <c r="C358" s="101"/>
      <c r="D358" s="101"/>
      <c r="E358" s="101"/>
      <c r="F358" s="101"/>
      <c r="G358" s="101"/>
      <c r="H358" s="101"/>
      <c r="I358" s="101"/>
      <c r="J358" s="101"/>
      <c r="S358" s="101"/>
      <c r="T358" s="241"/>
      <c r="U358" s="241"/>
      <c r="V358" s="241"/>
      <c r="W358" s="241"/>
      <c r="X358" s="241"/>
      <c r="Y358" s="241"/>
      <c r="Z358" s="241"/>
    </row>
    <row r="359" spans="3:26" ht="16.5">
      <c r="C359" s="101"/>
      <c r="D359" s="101"/>
      <c r="E359" s="101"/>
      <c r="F359" s="101"/>
      <c r="G359" s="101"/>
      <c r="H359" s="101"/>
      <c r="I359" s="101"/>
      <c r="J359" s="101"/>
      <c r="S359" s="101"/>
      <c r="T359" s="241"/>
      <c r="U359" s="241"/>
      <c r="V359" s="241"/>
      <c r="W359" s="241"/>
      <c r="X359" s="241"/>
      <c r="Y359" s="241"/>
      <c r="Z359" s="241"/>
    </row>
    <row r="360" spans="3:26" ht="16.5">
      <c r="C360" s="101"/>
      <c r="D360" s="101"/>
      <c r="E360" s="101"/>
      <c r="F360" s="101"/>
      <c r="G360" s="101"/>
      <c r="H360" s="101"/>
      <c r="I360" s="101"/>
      <c r="J360" s="101"/>
      <c r="S360" s="101"/>
      <c r="T360" s="241"/>
      <c r="U360" s="241"/>
      <c r="V360" s="241"/>
      <c r="W360" s="241"/>
      <c r="X360" s="241"/>
      <c r="Y360" s="241"/>
      <c r="Z360" s="241"/>
    </row>
    <row r="361" spans="3:26" ht="16.5">
      <c r="C361" s="101"/>
      <c r="D361" s="101"/>
      <c r="E361" s="101"/>
      <c r="F361" s="101"/>
      <c r="G361" s="101"/>
      <c r="H361" s="101"/>
      <c r="I361" s="101"/>
      <c r="J361" s="101"/>
      <c r="S361" s="101"/>
      <c r="T361" s="241"/>
      <c r="U361" s="241"/>
      <c r="V361" s="241"/>
      <c r="W361" s="241"/>
      <c r="X361" s="241"/>
      <c r="Y361" s="241"/>
      <c r="Z361" s="241"/>
    </row>
    <row r="362" spans="3:26" ht="16.5">
      <c r="C362" s="101"/>
      <c r="D362" s="101"/>
      <c r="E362" s="101"/>
      <c r="F362" s="101"/>
      <c r="G362" s="101"/>
      <c r="H362" s="101"/>
      <c r="I362" s="101"/>
      <c r="J362" s="101"/>
      <c r="S362" s="101"/>
      <c r="T362" s="241"/>
      <c r="U362" s="241"/>
      <c r="V362" s="241"/>
      <c r="W362" s="241"/>
      <c r="X362" s="241"/>
      <c r="Y362" s="241"/>
      <c r="Z362" s="241"/>
    </row>
    <row r="363" spans="3:26" ht="16.5">
      <c r="C363" s="101"/>
      <c r="D363" s="101"/>
      <c r="E363" s="101"/>
      <c r="F363" s="101"/>
      <c r="G363" s="101"/>
      <c r="H363" s="101"/>
      <c r="I363" s="101"/>
      <c r="J363" s="101"/>
      <c r="S363" s="101"/>
      <c r="T363" s="241"/>
      <c r="U363" s="241"/>
      <c r="V363" s="241"/>
      <c r="W363" s="241"/>
      <c r="X363" s="241"/>
      <c r="Y363" s="241"/>
      <c r="Z363" s="241"/>
    </row>
    <row r="364" spans="3:26" ht="16.5">
      <c r="C364" s="101"/>
      <c r="D364" s="101"/>
      <c r="E364" s="101"/>
      <c r="F364" s="101"/>
      <c r="G364" s="101"/>
      <c r="H364" s="101"/>
      <c r="I364" s="101"/>
      <c r="J364" s="101"/>
      <c r="S364" s="101"/>
      <c r="T364" s="241"/>
      <c r="U364" s="241"/>
      <c r="V364" s="241"/>
      <c r="W364" s="241"/>
      <c r="X364" s="241"/>
      <c r="Y364" s="241"/>
      <c r="Z364" s="241"/>
    </row>
    <row r="365" spans="3:26" ht="16.5">
      <c r="C365" s="101"/>
      <c r="D365" s="101"/>
      <c r="E365" s="101"/>
      <c r="F365" s="101"/>
      <c r="G365" s="101"/>
      <c r="H365" s="101"/>
      <c r="I365" s="101"/>
      <c r="J365" s="101"/>
      <c r="S365" s="101"/>
      <c r="T365" s="241"/>
      <c r="U365" s="241"/>
      <c r="V365" s="241"/>
      <c r="W365" s="241"/>
      <c r="X365" s="241"/>
      <c r="Y365" s="241"/>
      <c r="Z365" s="241"/>
    </row>
    <row r="366" spans="3:26" ht="16.5">
      <c r="C366" s="101"/>
      <c r="D366" s="101"/>
      <c r="E366" s="101"/>
      <c r="F366" s="101"/>
      <c r="G366" s="101"/>
      <c r="H366" s="101"/>
      <c r="I366" s="101"/>
      <c r="J366" s="101"/>
      <c r="S366" s="101"/>
      <c r="T366" s="241"/>
      <c r="U366" s="241"/>
      <c r="V366" s="241"/>
      <c r="W366" s="241"/>
      <c r="X366" s="241"/>
      <c r="Y366" s="241"/>
      <c r="Z366" s="241"/>
    </row>
    <row r="367" spans="3:26" ht="16.5">
      <c r="C367" s="101"/>
      <c r="D367" s="101"/>
      <c r="E367" s="101"/>
      <c r="F367" s="101"/>
      <c r="G367" s="101"/>
      <c r="H367" s="101"/>
      <c r="I367" s="101"/>
      <c r="J367" s="101"/>
      <c r="S367" s="101"/>
      <c r="T367" s="241"/>
      <c r="U367" s="241"/>
      <c r="V367" s="241"/>
      <c r="W367" s="241"/>
      <c r="X367" s="241"/>
      <c r="Y367" s="241"/>
      <c r="Z367" s="241"/>
    </row>
    <row r="368" spans="3:26" ht="16.5">
      <c r="C368" s="101"/>
      <c r="D368" s="101"/>
      <c r="E368" s="101"/>
      <c r="F368" s="101"/>
      <c r="G368" s="101"/>
      <c r="H368" s="101"/>
      <c r="I368" s="101"/>
      <c r="J368" s="101"/>
      <c r="S368" s="101"/>
      <c r="T368" s="241"/>
      <c r="U368" s="241"/>
      <c r="V368" s="241"/>
      <c r="W368" s="241"/>
      <c r="X368" s="241"/>
      <c r="Y368" s="241"/>
      <c r="Z368" s="241"/>
    </row>
    <row r="369" spans="3:26" ht="16.5">
      <c r="C369" s="101"/>
      <c r="D369" s="101"/>
      <c r="E369" s="101"/>
      <c r="F369" s="101"/>
      <c r="G369" s="101"/>
      <c r="H369" s="101"/>
      <c r="I369" s="101"/>
      <c r="J369" s="101"/>
      <c r="S369" s="101"/>
      <c r="T369" s="241"/>
      <c r="U369" s="241"/>
      <c r="V369" s="241"/>
      <c r="W369" s="241"/>
      <c r="X369" s="241"/>
      <c r="Y369" s="241"/>
      <c r="Z369" s="241"/>
    </row>
    <row r="370" spans="3:26" ht="16.5">
      <c r="C370" s="101"/>
      <c r="D370" s="101"/>
      <c r="E370" s="101"/>
      <c r="F370" s="101"/>
      <c r="G370" s="101"/>
      <c r="H370" s="101"/>
      <c r="I370" s="101"/>
      <c r="J370" s="101"/>
      <c r="S370" s="101"/>
      <c r="T370" s="241"/>
      <c r="U370" s="241"/>
      <c r="V370" s="241"/>
      <c r="W370" s="241"/>
      <c r="X370" s="241"/>
      <c r="Y370" s="241"/>
      <c r="Z370" s="241"/>
    </row>
    <row r="371" spans="3:26" ht="16.5">
      <c r="C371" s="101"/>
      <c r="D371" s="101"/>
      <c r="E371" s="101"/>
      <c r="F371" s="101"/>
      <c r="G371" s="101"/>
      <c r="H371" s="101"/>
      <c r="I371" s="101"/>
      <c r="J371" s="101"/>
      <c r="S371" s="101"/>
      <c r="T371" s="241"/>
      <c r="U371" s="241"/>
      <c r="V371" s="241"/>
      <c r="W371" s="241"/>
      <c r="X371" s="241"/>
      <c r="Y371" s="241"/>
      <c r="Z371" s="241"/>
    </row>
    <row r="372" spans="3:26" ht="16.5">
      <c r="C372" s="101"/>
      <c r="D372" s="101"/>
      <c r="E372" s="101"/>
      <c r="F372" s="101"/>
      <c r="G372" s="101"/>
      <c r="H372" s="101"/>
      <c r="I372" s="101"/>
      <c r="J372" s="101"/>
      <c r="S372" s="101"/>
      <c r="T372" s="241"/>
      <c r="U372" s="241"/>
      <c r="V372" s="241"/>
      <c r="W372" s="241"/>
      <c r="X372" s="241"/>
      <c r="Y372" s="241"/>
      <c r="Z372" s="241"/>
    </row>
    <row r="373" spans="3:26" ht="16.5">
      <c r="C373" s="101"/>
      <c r="D373" s="101"/>
      <c r="E373" s="101"/>
      <c r="F373" s="101"/>
      <c r="G373" s="101"/>
      <c r="H373" s="101"/>
      <c r="I373" s="101"/>
      <c r="J373" s="101"/>
      <c r="S373" s="101"/>
      <c r="T373" s="241"/>
      <c r="U373" s="241"/>
      <c r="V373" s="241"/>
      <c r="W373" s="241"/>
      <c r="X373" s="241"/>
      <c r="Y373" s="241"/>
      <c r="Z373" s="241"/>
    </row>
    <row r="374" spans="3:26" ht="16.5">
      <c r="C374" s="101"/>
      <c r="D374" s="101"/>
      <c r="E374" s="101"/>
      <c r="F374" s="101"/>
      <c r="G374" s="101"/>
      <c r="H374" s="101"/>
      <c r="I374" s="101"/>
      <c r="J374" s="101"/>
      <c r="S374" s="101"/>
      <c r="T374" s="241"/>
      <c r="U374" s="241"/>
      <c r="V374" s="241"/>
      <c r="W374" s="241"/>
      <c r="X374" s="241"/>
      <c r="Y374" s="241"/>
      <c r="Z374" s="241"/>
    </row>
    <row r="375" spans="3:26" ht="16.5">
      <c r="C375" s="101"/>
      <c r="D375" s="101"/>
      <c r="E375" s="101"/>
      <c r="F375" s="101"/>
      <c r="G375" s="101"/>
      <c r="H375" s="101"/>
      <c r="I375" s="101"/>
      <c r="J375" s="101"/>
      <c r="S375" s="101"/>
      <c r="T375" s="241"/>
      <c r="U375" s="241"/>
      <c r="V375" s="241"/>
      <c r="W375" s="241"/>
      <c r="X375" s="241"/>
      <c r="Y375" s="241"/>
      <c r="Z375" s="241"/>
    </row>
    <row r="376" spans="3:26" ht="16.5">
      <c r="C376" s="101"/>
      <c r="D376" s="101"/>
      <c r="E376" s="101"/>
      <c r="F376" s="101"/>
      <c r="G376" s="101"/>
      <c r="H376" s="101"/>
      <c r="I376" s="101"/>
      <c r="J376" s="101"/>
      <c r="S376" s="101"/>
      <c r="T376" s="241"/>
      <c r="U376" s="241"/>
      <c r="V376" s="241"/>
      <c r="W376" s="241"/>
      <c r="X376" s="241"/>
      <c r="Y376" s="241"/>
      <c r="Z376" s="241"/>
    </row>
    <row r="377" spans="3:26" ht="16.5">
      <c r="C377" s="101"/>
      <c r="D377" s="101"/>
      <c r="E377" s="101"/>
      <c r="F377" s="101"/>
      <c r="G377" s="101"/>
      <c r="H377" s="101"/>
      <c r="I377" s="101"/>
      <c r="J377" s="101"/>
      <c r="S377" s="101"/>
      <c r="T377" s="241"/>
      <c r="U377" s="241"/>
      <c r="V377" s="241"/>
      <c r="W377" s="241"/>
      <c r="X377" s="241"/>
      <c r="Y377" s="241"/>
      <c r="Z377" s="241"/>
    </row>
    <row r="378" spans="3:26" ht="16.5">
      <c r="C378" s="101"/>
      <c r="D378" s="101"/>
      <c r="E378" s="101"/>
      <c r="F378" s="101"/>
      <c r="G378" s="101"/>
      <c r="H378" s="101"/>
      <c r="I378" s="101"/>
      <c r="J378" s="101"/>
      <c r="S378" s="101"/>
      <c r="T378" s="241"/>
      <c r="U378" s="241"/>
      <c r="V378" s="241"/>
      <c r="W378" s="241"/>
      <c r="X378" s="241"/>
      <c r="Y378" s="241"/>
      <c r="Z378" s="241"/>
    </row>
    <row r="379" spans="3:26" ht="16.5">
      <c r="C379" s="101"/>
      <c r="D379" s="101"/>
      <c r="E379" s="101"/>
      <c r="F379" s="101"/>
      <c r="G379" s="101"/>
      <c r="H379" s="101"/>
      <c r="I379" s="101"/>
      <c r="J379" s="101"/>
      <c r="S379" s="101"/>
      <c r="T379" s="241"/>
      <c r="U379" s="241"/>
      <c r="V379" s="241"/>
      <c r="W379" s="241"/>
      <c r="X379" s="241"/>
      <c r="Y379" s="241"/>
      <c r="Z379" s="241"/>
    </row>
    <row r="380" spans="3:26" ht="16.5">
      <c r="C380" s="101"/>
      <c r="D380" s="101"/>
      <c r="E380" s="101"/>
      <c r="F380" s="101"/>
      <c r="G380" s="101"/>
      <c r="H380" s="101"/>
      <c r="I380" s="101"/>
      <c r="J380" s="101"/>
      <c r="S380" s="101"/>
      <c r="T380" s="241"/>
      <c r="U380" s="241"/>
      <c r="V380" s="241"/>
      <c r="W380" s="241"/>
      <c r="X380" s="241"/>
      <c r="Y380" s="241"/>
      <c r="Z380" s="241"/>
    </row>
    <row r="381" spans="3:26" ht="16.5">
      <c r="C381" s="101"/>
      <c r="D381" s="101"/>
      <c r="E381" s="101"/>
      <c r="F381" s="101"/>
      <c r="G381" s="101"/>
      <c r="H381" s="101"/>
      <c r="I381" s="101"/>
      <c r="J381" s="101"/>
      <c r="S381" s="101"/>
      <c r="T381" s="241"/>
      <c r="U381" s="241"/>
      <c r="V381" s="241"/>
      <c r="W381" s="241"/>
      <c r="X381" s="241"/>
      <c r="Y381" s="241"/>
      <c r="Z381" s="241"/>
    </row>
    <row r="382" spans="3:26" ht="16.5">
      <c r="C382" s="101"/>
      <c r="D382" s="101"/>
      <c r="E382" s="101"/>
      <c r="F382" s="101"/>
      <c r="G382" s="101"/>
      <c r="H382" s="101"/>
      <c r="I382" s="101"/>
      <c r="J382" s="101"/>
      <c r="S382" s="101"/>
      <c r="T382" s="241"/>
      <c r="U382" s="241"/>
      <c r="V382" s="241"/>
      <c r="W382" s="241"/>
      <c r="X382" s="241"/>
      <c r="Y382" s="241"/>
      <c r="Z382" s="241"/>
    </row>
    <row r="383" spans="3:26" ht="16.5">
      <c r="C383" s="101"/>
      <c r="D383" s="101"/>
      <c r="E383" s="101"/>
      <c r="F383" s="101"/>
      <c r="G383" s="101"/>
      <c r="H383" s="101"/>
      <c r="I383" s="101"/>
      <c r="J383" s="101"/>
      <c r="S383" s="101"/>
      <c r="T383" s="241"/>
      <c r="U383" s="241"/>
      <c r="V383" s="241"/>
      <c r="W383" s="241"/>
      <c r="X383" s="241"/>
      <c r="Y383" s="241"/>
      <c r="Z383" s="241"/>
    </row>
    <row r="384" spans="3:26" ht="16.5">
      <c r="C384" s="101"/>
      <c r="D384" s="101"/>
      <c r="E384" s="101"/>
      <c r="F384" s="101"/>
      <c r="G384" s="101"/>
      <c r="H384" s="101"/>
      <c r="I384" s="101"/>
      <c r="J384" s="101"/>
      <c r="S384" s="101"/>
      <c r="T384" s="241"/>
      <c r="U384" s="241"/>
      <c r="V384" s="241"/>
      <c r="W384" s="241"/>
      <c r="X384" s="241"/>
      <c r="Y384" s="241"/>
      <c r="Z384" s="241"/>
    </row>
    <row r="385" spans="3:26" ht="16.5">
      <c r="C385" s="101"/>
      <c r="D385" s="101"/>
      <c r="E385" s="101"/>
      <c r="F385" s="101"/>
      <c r="G385" s="101"/>
      <c r="H385" s="101"/>
      <c r="I385" s="101"/>
      <c r="J385" s="101"/>
      <c r="S385" s="101"/>
      <c r="T385" s="241"/>
      <c r="U385" s="241"/>
      <c r="V385" s="241"/>
      <c r="W385" s="241"/>
      <c r="X385" s="241"/>
      <c r="Y385" s="241"/>
      <c r="Z385" s="241"/>
    </row>
    <row r="386" spans="3:26" ht="16.5">
      <c r="C386" s="101"/>
      <c r="D386" s="101"/>
      <c r="E386" s="101"/>
      <c r="F386" s="101"/>
      <c r="G386" s="101"/>
      <c r="H386" s="101"/>
      <c r="I386" s="101"/>
      <c r="J386" s="101"/>
      <c r="S386" s="101"/>
      <c r="T386" s="241"/>
      <c r="U386" s="241"/>
      <c r="V386" s="241"/>
      <c r="W386" s="241"/>
      <c r="X386" s="241"/>
      <c r="Y386" s="241"/>
      <c r="Z386" s="241"/>
    </row>
    <row r="387" spans="3:26" ht="16.5">
      <c r="C387" s="101"/>
      <c r="D387" s="101"/>
      <c r="E387" s="101"/>
      <c r="F387" s="101"/>
      <c r="G387" s="101"/>
      <c r="H387" s="101"/>
      <c r="I387" s="101"/>
      <c r="J387" s="101"/>
      <c r="S387" s="101"/>
      <c r="T387" s="241"/>
      <c r="U387" s="241"/>
      <c r="V387" s="241"/>
      <c r="W387" s="241"/>
      <c r="X387" s="241"/>
      <c r="Y387" s="241"/>
      <c r="Z387" s="241"/>
    </row>
    <row r="388" spans="3:26" ht="16.5">
      <c r="C388" s="101"/>
      <c r="D388" s="101"/>
      <c r="E388" s="101"/>
      <c r="F388" s="101"/>
      <c r="G388" s="101"/>
      <c r="H388" s="101"/>
      <c r="I388" s="101"/>
      <c r="J388" s="101"/>
      <c r="S388" s="101"/>
      <c r="T388" s="241"/>
      <c r="U388" s="241"/>
      <c r="V388" s="241"/>
      <c r="W388" s="241"/>
      <c r="X388" s="241"/>
      <c r="Y388" s="241"/>
      <c r="Z388" s="241"/>
    </row>
    <row r="389" spans="3:26" ht="16.5">
      <c r="C389" s="101"/>
      <c r="D389" s="101"/>
      <c r="E389" s="101"/>
      <c r="F389" s="101"/>
      <c r="G389" s="101"/>
      <c r="H389" s="101"/>
      <c r="I389" s="101"/>
      <c r="J389" s="101"/>
      <c r="S389" s="101"/>
      <c r="T389" s="241"/>
      <c r="U389" s="241"/>
      <c r="V389" s="241"/>
      <c r="W389" s="241"/>
      <c r="X389" s="241"/>
      <c r="Y389" s="241"/>
      <c r="Z389" s="241"/>
    </row>
    <row r="390" spans="3:26" ht="16.5">
      <c r="C390" s="101"/>
      <c r="D390" s="101"/>
      <c r="E390" s="101"/>
      <c r="F390" s="101"/>
      <c r="G390" s="101"/>
      <c r="H390" s="101"/>
      <c r="I390" s="101"/>
      <c r="J390" s="101"/>
      <c r="S390" s="101"/>
      <c r="T390" s="241"/>
      <c r="U390" s="241"/>
      <c r="V390" s="241"/>
      <c r="W390" s="241"/>
      <c r="X390" s="241"/>
      <c r="Y390" s="241"/>
      <c r="Z390" s="241"/>
    </row>
    <row r="391" spans="3:26" ht="16.5">
      <c r="C391" s="101"/>
      <c r="D391" s="101"/>
      <c r="E391" s="101"/>
      <c r="F391" s="101"/>
      <c r="G391" s="101"/>
      <c r="H391" s="101"/>
      <c r="I391" s="101"/>
      <c r="J391" s="101"/>
      <c r="S391" s="101"/>
      <c r="T391" s="241"/>
      <c r="U391" s="241"/>
      <c r="V391" s="241"/>
      <c r="W391" s="241"/>
      <c r="X391" s="241"/>
      <c r="Y391" s="241"/>
      <c r="Z391" s="241"/>
    </row>
    <row r="392" spans="3:26" ht="16.5">
      <c r="C392" s="101"/>
      <c r="D392" s="101"/>
      <c r="E392" s="101"/>
      <c r="F392" s="101"/>
      <c r="G392" s="101"/>
      <c r="H392" s="101"/>
      <c r="I392" s="101"/>
      <c r="J392" s="101"/>
      <c r="S392" s="101"/>
      <c r="T392" s="241"/>
      <c r="U392" s="241"/>
      <c r="V392" s="241"/>
      <c r="W392" s="241"/>
      <c r="X392" s="241"/>
      <c r="Y392" s="241"/>
      <c r="Z392" s="241"/>
    </row>
    <row r="393" spans="3:26" ht="16.5">
      <c r="C393" s="101"/>
      <c r="D393" s="101"/>
      <c r="E393" s="101"/>
      <c r="F393" s="101"/>
      <c r="G393" s="101"/>
      <c r="H393" s="101"/>
      <c r="I393" s="101"/>
      <c r="J393" s="101"/>
      <c r="S393" s="101"/>
      <c r="T393" s="241"/>
      <c r="U393" s="241"/>
      <c r="V393" s="241"/>
      <c r="W393" s="241"/>
      <c r="X393" s="241"/>
      <c r="Y393" s="241"/>
      <c r="Z393" s="241"/>
    </row>
    <row r="394" spans="3:26" ht="16.5">
      <c r="C394" s="101"/>
      <c r="D394" s="101"/>
      <c r="E394" s="101"/>
      <c r="F394" s="101"/>
      <c r="G394" s="101"/>
      <c r="H394" s="101"/>
      <c r="I394" s="101"/>
      <c r="J394" s="101"/>
      <c r="S394" s="101"/>
      <c r="T394" s="241"/>
      <c r="U394" s="241"/>
      <c r="V394" s="241"/>
      <c r="W394" s="241"/>
      <c r="X394" s="241"/>
      <c r="Y394" s="241"/>
      <c r="Z394" s="241"/>
    </row>
    <row r="395" spans="3:26" ht="16.5">
      <c r="C395" s="101"/>
      <c r="D395" s="101"/>
      <c r="E395" s="101"/>
      <c r="F395" s="101"/>
      <c r="G395" s="101"/>
      <c r="H395" s="101"/>
      <c r="I395" s="101"/>
      <c r="J395" s="101"/>
      <c r="S395" s="101"/>
      <c r="T395" s="241"/>
      <c r="U395" s="241"/>
      <c r="V395" s="241"/>
      <c r="W395" s="241"/>
      <c r="X395" s="241"/>
      <c r="Y395" s="241"/>
      <c r="Z395" s="241"/>
    </row>
    <row r="396" spans="3:26" ht="16.5">
      <c r="C396" s="101"/>
      <c r="D396" s="101"/>
      <c r="E396" s="101"/>
      <c r="F396" s="101"/>
      <c r="G396" s="101"/>
      <c r="H396" s="101"/>
      <c r="I396" s="101"/>
      <c r="J396" s="101"/>
      <c r="S396" s="101"/>
      <c r="T396" s="241"/>
      <c r="U396" s="241"/>
      <c r="V396" s="241"/>
      <c r="W396" s="241"/>
      <c r="X396" s="241"/>
      <c r="Y396" s="241"/>
      <c r="Z396" s="241"/>
    </row>
    <row r="397" spans="3:26" ht="16.5">
      <c r="C397" s="101"/>
      <c r="D397" s="101"/>
      <c r="E397" s="101"/>
      <c r="F397" s="101"/>
      <c r="G397" s="101"/>
      <c r="H397" s="101"/>
      <c r="I397" s="101"/>
      <c r="J397" s="101"/>
      <c r="S397" s="101"/>
      <c r="T397" s="241"/>
      <c r="U397" s="241"/>
      <c r="V397" s="241"/>
      <c r="W397" s="241"/>
      <c r="X397" s="241"/>
      <c r="Y397" s="241"/>
      <c r="Z397" s="241"/>
    </row>
    <row r="398" spans="3:26" ht="16.5">
      <c r="C398" s="101"/>
      <c r="D398" s="101"/>
      <c r="E398" s="101"/>
      <c r="F398" s="101"/>
      <c r="G398" s="101"/>
      <c r="H398" s="101"/>
      <c r="I398" s="101"/>
      <c r="J398" s="101"/>
      <c r="S398" s="101"/>
      <c r="T398" s="241"/>
      <c r="U398" s="241"/>
      <c r="V398" s="241"/>
      <c r="W398" s="241"/>
      <c r="X398" s="241"/>
      <c r="Y398" s="241"/>
      <c r="Z398" s="241"/>
    </row>
    <row r="399" spans="3:26" ht="16.5">
      <c r="C399" s="101"/>
      <c r="D399" s="101"/>
      <c r="E399" s="101"/>
      <c r="F399" s="101"/>
      <c r="G399" s="101"/>
      <c r="H399" s="101"/>
      <c r="I399" s="101"/>
      <c r="J399" s="101"/>
      <c r="S399" s="101"/>
      <c r="T399" s="241"/>
      <c r="U399" s="241"/>
      <c r="V399" s="241"/>
      <c r="W399" s="241"/>
      <c r="X399" s="241"/>
      <c r="Y399" s="241"/>
      <c r="Z399" s="241"/>
    </row>
    <row r="400" spans="3:26" ht="16.5">
      <c r="C400" s="101"/>
      <c r="D400" s="101"/>
      <c r="E400" s="101"/>
      <c r="F400" s="101"/>
      <c r="G400" s="101"/>
      <c r="H400" s="101"/>
      <c r="I400" s="101"/>
      <c r="J400" s="101"/>
      <c r="S400" s="101"/>
      <c r="T400" s="241"/>
      <c r="U400" s="241"/>
      <c r="V400" s="241"/>
      <c r="W400" s="241"/>
      <c r="X400" s="241"/>
      <c r="Y400" s="241"/>
      <c r="Z400" s="241"/>
    </row>
    <row r="401" spans="3:26" ht="16.5">
      <c r="C401" s="101"/>
      <c r="D401" s="101"/>
      <c r="E401" s="101"/>
      <c r="F401" s="101"/>
      <c r="G401" s="101"/>
      <c r="H401" s="101"/>
      <c r="I401" s="101"/>
      <c r="J401" s="101"/>
      <c r="S401" s="101"/>
      <c r="T401" s="241"/>
      <c r="U401" s="241"/>
      <c r="V401" s="241"/>
      <c r="W401" s="241"/>
      <c r="X401" s="241"/>
      <c r="Y401" s="241"/>
      <c r="Z401" s="241"/>
    </row>
    <row r="402" spans="3:26" ht="16.5">
      <c r="C402" s="101"/>
      <c r="D402" s="101"/>
      <c r="E402" s="101"/>
      <c r="F402" s="101"/>
      <c r="G402" s="101"/>
      <c r="H402" s="101"/>
      <c r="I402" s="101"/>
      <c r="J402" s="101"/>
      <c r="S402" s="101"/>
      <c r="T402" s="241"/>
      <c r="U402" s="241"/>
      <c r="V402" s="241"/>
      <c r="W402" s="241"/>
      <c r="X402" s="241"/>
      <c r="Y402" s="241"/>
      <c r="Z402" s="241"/>
    </row>
    <row r="403" spans="3:26" ht="16.5">
      <c r="C403" s="101"/>
      <c r="D403" s="101"/>
      <c r="E403" s="101"/>
      <c r="F403" s="101"/>
      <c r="G403" s="101"/>
      <c r="H403" s="101"/>
      <c r="I403" s="101"/>
      <c r="J403" s="101"/>
      <c r="S403" s="101"/>
      <c r="T403" s="241"/>
      <c r="U403" s="241"/>
      <c r="V403" s="241"/>
      <c r="W403" s="241"/>
      <c r="X403" s="241"/>
      <c r="Y403" s="241"/>
      <c r="Z403" s="241"/>
    </row>
    <row r="404" spans="3:26" ht="16.5">
      <c r="C404" s="101"/>
      <c r="D404" s="101"/>
      <c r="E404" s="101"/>
      <c r="F404" s="101"/>
      <c r="G404" s="101"/>
      <c r="H404" s="101"/>
      <c r="I404" s="101"/>
      <c r="J404" s="101"/>
      <c r="S404" s="101"/>
      <c r="T404" s="241"/>
      <c r="U404" s="241"/>
      <c r="V404" s="241"/>
      <c r="W404" s="241"/>
      <c r="X404" s="241"/>
      <c r="Y404" s="241"/>
      <c r="Z404" s="241"/>
    </row>
    <row r="405" spans="3:26" ht="16.5">
      <c r="C405" s="101"/>
      <c r="D405" s="101"/>
      <c r="E405" s="101"/>
      <c r="F405" s="101"/>
      <c r="G405" s="101"/>
      <c r="H405" s="101"/>
      <c r="I405" s="101"/>
      <c r="J405" s="101"/>
      <c r="S405" s="101"/>
      <c r="T405" s="241"/>
      <c r="U405" s="241"/>
      <c r="V405" s="241"/>
      <c r="W405" s="241"/>
      <c r="X405" s="241"/>
      <c r="Y405" s="241"/>
      <c r="Z405" s="241"/>
    </row>
    <row r="406" spans="3:26" ht="16.5">
      <c r="C406" s="101"/>
      <c r="D406" s="101"/>
      <c r="E406" s="101"/>
      <c r="F406" s="101"/>
      <c r="G406" s="101"/>
      <c r="H406" s="101"/>
      <c r="I406" s="101"/>
      <c r="J406" s="101"/>
      <c r="S406" s="101"/>
      <c r="T406" s="241"/>
      <c r="U406" s="241"/>
      <c r="V406" s="241"/>
      <c r="W406" s="241"/>
      <c r="X406" s="241"/>
      <c r="Y406" s="241"/>
      <c r="Z406" s="241"/>
    </row>
    <row r="407" spans="3:26" ht="16.5">
      <c r="C407" s="101"/>
      <c r="D407" s="101"/>
      <c r="E407" s="101"/>
      <c r="F407" s="101"/>
      <c r="G407" s="101"/>
      <c r="H407" s="101"/>
      <c r="I407" s="101"/>
      <c r="J407" s="101"/>
      <c r="S407" s="101"/>
      <c r="T407" s="241"/>
      <c r="U407" s="241"/>
      <c r="V407" s="241"/>
      <c r="W407" s="241"/>
      <c r="X407" s="241"/>
      <c r="Y407" s="241"/>
      <c r="Z407" s="241"/>
    </row>
    <row r="408" spans="3:26" ht="16.5">
      <c r="C408" s="101"/>
      <c r="D408" s="101"/>
      <c r="E408" s="101"/>
      <c r="F408" s="101"/>
      <c r="G408" s="101"/>
      <c r="H408" s="101"/>
      <c r="I408" s="101"/>
      <c r="J408" s="101"/>
      <c r="S408" s="101"/>
      <c r="T408" s="241"/>
      <c r="U408" s="241"/>
      <c r="V408" s="241"/>
      <c r="W408" s="241"/>
      <c r="X408" s="241"/>
      <c r="Y408" s="241"/>
      <c r="Z408" s="241"/>
    </row>
    <row r="409" spans="3:26" ht="16.5">
      <c r="C409" s="101"/>
      <c r="D409" s="101"/>
      <c r="E409" s="101"/>
      <c r="F409" s="101"/>
      <c r="G409" s="101"/>
      <c r="H409" s="101"/>
      <c r="I409" s="101"/>
      <c r="J409" s="101"/>
      <c r="S409" s="101"/>
      <c r="T409" s="241"/>
      <c r="U409" s="241"/>
      <c r="V409" s="241"/>
      <c r="W409" s="241"/>
      <c r="X409" s="241"/>
      <c r="Y409" s="241"/>
      <c r="Z409" s="241"/>
    </row>
    <row r="410" spans="3:26" ht="16.5">
      <c r="C410" s="101"/>
      <c r="D410" s="101"/>
      <c r="E410" s="101"/>
      <c r="F410" s="101"/>
      <c r="G410" s="101"/>
      <c r="H410" s="101"/>
      <c r="I410" s="101"/>
      <c r="J410" s="101"/>
      <c r="S410" s="101"/>
      <c r="T410" s="241"/>
      <c r="U410" s="241"/>
      <c r="V410" s="241"/>
      <c r="W410" s="241"/>
      <c r="X410" s="241"/>
      <c r="Y410" s="241"/>
      <c r="Z410" s="241"/>
    </row>
    <row r="411" spans="3:26" ht="16.5">
      <c r="C411" s="101"/>
      <c r="D411" s="101"/>
      <c r="E411" s="101"/>
      <c r="F411" s="101"/>
      <c r="G411" s="101"/>
      <c r="H411" s="101"/>
      <c r="I411" s="101"/>
      <c r="J411" s="101"/>
      <c r="S411" s="101"/>
      <c r="T411" s="241"/>
      <c r="U411" s="241"/>
      <c r="V411" s="241"/>
      <c r="W411" s="241"/>
      <c r="X411" s="241"/>
      <c r="Y411" s="241"/>
      <c r="Z411" s="241"/>
    </row>
    <row r="412" spans="3:26" ht="16.5">
      <c r="C412" s="101"/>
      <c r="D412" s="101"/>
      <c r="E412" s="101"/>
      <c r="F412" s="101"/>
      <c r="G412" s="101"/>
      <c r="H412" s="101"/>
      <c r="I412" s="101"/>
      <c r="J412" s="101"/>
      <c r="S412" s="101"/>
      <c r="T412" s="241"/>
      <c r="U412" s="241"/>
      <c r="V412" s="241"/>
      <c r="W412" s="241"/>
      <c r="X412" s="241"/>
      <c r="Y412" s="241"/>
      <c r="Z412" s="241"/>
    </row>
    <row r="413" spans="3:26" ht="16.5">
      <c r="C413" s="101"/>
      <c r="D413" s="101"/>
      <c r="E413" s="101"/>
      <c r="F413" s="101"/>
      <c r="G413" s="101"/>
      <c r="H413" s="101"/>
      <c r="I413" s="101"/>
      <c r="J413" s="101"/>
      <c r="S413" s="101"/>
      <c r="T413" s="241"/>
      <c r="U413" s="241"/>
      <c r="V413" s="241"/>
      <c r="W413" s="241"/>
      <c r="X413" s="241"/>
      <c r="Y413" s="241"/>
      <c r="Z413" s="241"/>
    </row>
    <row r="414" spans="3:26" ht="16.5">
      <c r="C414" s="101"/>
      <c r="D414" s="101"/>
      <c r="E414" s="101"/>
      <c r="F414" s="101"/>
      <c r="G414" s="101"/>
      <c r="H414" s="101"/>
      <c r="I414" s="101"/>
      <c r="J414" s="101"/>
      <c r="S414" s="101"/>
      <c r="T414" s="241"/>
      <c r="U414" s="241"/>
      <c r="V414" s="241"/>
      <c r="W414" s="241"/>
      <c r="X414" s="241"/>
      <c r="Y414" s="241"/>
      <c r="Z414" s="241"/>
    </row>
    <row r="415" spans="3:26" ht="16.5">
      <c r="C415" s="101"/>
      <c r="D415" s="101"/>
      <c r="E415" s="101"/>
      <c r="F415" s="101"/>
      <c r="G415" s="101"/>
      <c r="H415" s="101"/>
      <c r="I415" s="101"/>
      <c r="J415" s="101"/>
      <c r="S415" s="101"/>
      <c r="T415" s="241"/>
      <c r="U415" s="241"/>
      <c r="V415" s="241"/>
      <c r="W415" s="241"/>
      <c r="X415" s="241"/>
      <c r="Y415" s="241"/>
      <c r="Z415" s="241"/>
    </row>
    <row r="416" spans="3:26" ht="16.5">
      <c r="C416" s="101"/>
      <c r="D416" s="101"/>
      <c r="E416" s="101"/>
      <c r="F416" s="101"/>
      <c r="G416" s="101"/>
      <c r="H416" s="101"/>
      <c r="I416" s="101"/>
      <c r="J416" s="101"/>
      <c r="S416" s="101"/>
      <c r="T416" s="241"/>
      <c r="U416" s="241"/>
      <c r="V416" s="241"/>
      <c r="W416" s="241"/>
      <c r="X416" s="241"/>
      <c r="Y416" s="241"/>
      <c r="Z416" s="241"/>
    </row>
    <row r="417" spans="3:26" ht="16.5">
      <c r="C417" s="101"/>
      <c r="D417" s="101"/>
      <c r="E417" s="101"/>
      <c r="F417" s="101"/>
      <c r="G417" s="101"/>
      <c r="H417" s="101"/>
      <c r="I417" s="101"/>
      <c r="J417" s="101"/>
      <c r="S417" s="101"/>
      <c r="T417" s="241"/>
      <c r="U417" s="241"/>
      <c r="V417" s="241"/>
      <c r="W417" s="241"/>
      <c r="X417" s="241"/>
      <c r="Y417" s="241"/>
      <c r="Z417" s="241"/>
    </row>
    <row r="418" spans="3:26" ht="16.5">
      <c r="C418" s="101"/>
      <c r="D418" s="101"/>
      <c r="E418" s="101"/>
      <c r="F418" s="101"/>
      <c r="G418" s="101"/>
      <c r="H418" s="101"/>
      <c r="I418" s="101"/>
      <c r="J418" s="101"/>
      <c r="S418" s="101"/>
      <c r="T418" s="241"/>
      <c r="U418" s="241"/>
      <c r="V418" s="241"/>
      <c r="W418" s="241"/>
      <c r="X418" s="241"/>
      <c r="Y418" s="241"/>
      <c r="Z418" s="241"/>
    </row>
    <row r="419" spans="3:26" ht="16.5">
      <c r="C419" s="101"/>
      <c r="D419" s="101"/>
      <c r="E419" s="101"/>
      <c r="F419" s="101"/>
      <c r="G419" s="101"/>
      <c r="H419" s="101"/>
      <c r="I419" s="101"/>
      <c r="J419" s="101"/>
      <c r="S419" s="101"/>
      <c r="T419" s="241"/>
      <c r="U419" s="241"/>
      <c r="V419" s="241"/>
      <c r="W419" s="241"/>
      <c r="X419" s="241"/>
      <c r="Y419" s="241"/>
      <c r="Z419" s="241"/>
    </row>
    <row r="420" spans="3:26" ht="16.5">
      <c r="C420" s="101"/>
      <c r="D420" s="101"/>
      <c r="E420" s="101"/>
      <c r="F420" s="101"/>
      <c r="G420" s="101"/>
      <c r="H420" s="101"/>
      <c r="I420" s="101"/>
      <c r="J420" s="101"/>
      <c r="S420" s="101"/>
      <c r="T420" s="241"/>
      <c r="U420" s="241"/>
      <c r="V420" s="241"/>
      <c r="W420" s="241"/>
      <c r="X420" s="241"/>
      <c r="Y420" s="241"/>
      <c r="Z420" s="241"/>
    </row>
    <row r="421" spans="3:26" ht="16.5">
      <c r="C421" s="101"/>
      <c r="D421" s="101"/>
      <c r="E421" s="101"/>
      <c r="F421" s="101"/>
      <c r="G421" s="101"/>
      <c r="H421" s="101"/>
      <c r="I421" s="101"/>
      <c r="J421" s="101"/>
      <c r="S421" s="101"/>
      <c r="T421" s="241"/>
      <c r="U421" s="241"/>
      <c r="V421" s="241"/>
      <c r="W421" s="241"/>
      <c r="X421" s="241"/>
      <c r="Y421" s="241"/>
      <c r="Z421" s="241"/>
    </row>
    <row r="422" spans="3:26" ht="16.5">
      <c r="C422" s="101"/>
      <c r="D422" s="101"/>
      <c r="E422" s="101"/>
      <c r="F422" s="101"/>
      <c r="G422" s="101"/>
      <c r="H422" s="101"/>
      <c r="I422" s="101"/>
      <c r="J422" s="101"/>
      <c r="S422" s="101"/>
      <c r="T422" s="241"/>
      <c r="U422" s="241"/>
      <c r="V422" s="241"/>
      <c r="W422" s="241"/>
      <c r="X422" s="241"/>
      <c r="Y422" s="241"/>
      <c r="Z422" s="241"/>
    </row>
    <row r="423" spans="3:26" ht="16.5">
      <c r="C423" s="101"/>
      <c r="D423" s="101"/>
      <c r="E423" s="101"/>
      <c r="F423" s="101"/>
      <c r="G423" s="101"/>
      <c r="H423" s="101"/>
      <c r="I423" s="101"/>
      <c r="J423" s="101"/>
      <c r="S423" s="101"/>
      <c r="T423" s="241"/>
      <c r="U423" s="241"/>
      <c r="V423" s="241"/>
      <c r="W423" s="241"/>
      <c r="X423" s="241"/>
      <c r="Y423" s="241"/>
      <c r="Z423" s="241"/>
    </row>
    <row r="424" spans="3:26" ht="16.5">
      <c r="C424" s="101"/>
      <c r="D424" s="101"/>
      <c r="E424" s="101"/>
      <c r="F424" s="101"/>
      <c r="G424" s="101"/>
      <c r="H424" s="101"/>
      <c r="I424" s="101"/>
      <c r="J424" s="101"/>
      <c r="S424" s="101"/>
      <c r="T424" s="241"/>
      <c r="U424" s="241"/>
      <c r="V424" s="241"/>
      <c r="W424" s="241"/>
      <c r="X424" s="241"/>
      <c r="Y424" s="241"/>
      <c r="Z424" s="241"/>
    </row>
    <row r="425" spans="3:26" ht="16.5">
      <c r="C425" s="101"/>
      <c r="D425" s="101"/>
      <c r="E425" s="101"/>
      <c r="F425" s="101"/>
      <c r="G425" s="101"/>
      <c r="H425" s="101"/>
      <c r="I425" s="101"/>
      <c r="J425" s="101"/>
      <c r="S425" s="101"/>
      <c r="T425" s="241"/>
      <c r="U425" s="241"/>
      <c r="V425" s="241"/>
      <c r="W425" s="241"/>
      <c r="X425" s="241"/>
      <c r="Y425" s="241"/>
      <c r="Z425" s="241"/>
    </row>
    <row r="426" spans="3:26" ht="16.5">
      <c r="C426" s="101"/>
      <c r="D426" s="101"/>
      <c r="E426" s="101"/>
      <c r="F426" s="101"/>
      <c r="G426" s="101"/>
      <c r="H426" s="101"/>
      <c r="I426" s="101"/>
      <c r="J426" s="101"/>
      <c r="S426" s="101"/>
      <c r="T426" s="241"/>
      <c r="U426" s="241"/>
      <c r="V426" s="241"/>
      <c r="W426" s="241"/>
      <c r="X426" s="241"/>
      <c r="Y426" s="241"/>
      <c r="Z426" s="241"/>
    </row>
    <row r="427" spans="3:26" ht="16.5">
      <c r="C427" s="101"/>
      <c r="D427" s="101"/>
      <c r="E427" s="101"/>
      <c r="F427" s="101"/>
      <c r="G427" s="101"/>
      <c r="H427" s="101"/>
      <c r="I427" s="101"/>
      <c r="J427" s="101"/>
      <c r="S427" s="101"/>
      <c r="T427" s="241"/>
      <c r="U427" s="241"/>
      <c r="V427" s="241"/>
      <c r="W427" s="241"/>
      <c r="X427" s="241"/>
      <c r="Y427" s="241"/>
      <c r="Z427" s="241"/>
    </row>
    <row r="428" spans="3:26" ht="16.5">
      <c r="C428" s="101"/>
      <c r="D428" s="101"/>
      <c r="E428" s="101"/>
      <c r="F428" s="101"/>
      <c r="G428" s="101"/>
      <c r="H428" s="101"/>
      <c r="I428" s="101"/>
      <c r="J428" s="101"/>
      <c r="S428" s="101"/>
      <c r="T428" s="241"/>
      <c r="U428" s="241"/>
      <c r="V428" s="241"/>
      <c r="W428" s="241"/>
      <c r="X428" s="241"/>
      <c r="Y428" s="241"/>
      <c r="Z428" s="241"/>
    </row>
    <row r="429" spans="3:26" ht="16.5">
      <c r="C429" s="101"/>
      <c r="D429" s="101"/>
      <c r="E429" s="101"/>
      <c r="F429" s="101"/>
      <c r="G429" s="101"/>
      <c r="H429" s="101"/>
      <c r="I429" s="101"/>
      <c r="J429" s="101"/>
      <c r="S429" s="101"/>
      <c r="T429" s="241"/>
      <c r="U429" s="241"/>
      <c r="V429" s="241"/>
      <c r="W429" s="241"/>
      <c r="X429" s="241"/>
      <c r="Y429" s="241"/>
      <c r="Z429" s="241"/>
    </row>
    <row r="430" spans="3:26" ht="16.5">
      <c r="C430" s="101"/>
      <c r="D430" s="101"/>
      <c r="E430" s="101"/>
      <c r="F430" s="101"/>
      <c r="G430" s="101"/>
      <c r="H430" s="101"/>
      <c r="I430" s="101"/>
      <c r="J430" s="101"/>
      <c r="S430" s="101"/>
      <c r="T430" s="241"/>
      <c r="U430" s="241"/>
      <c r="V430" s="241"/>
      <c r="W430" s="241"/>
      <c r="X430" s="241"/>
      <c r="Y430" s="241"/>
      <c r="Z430" s="241"/>
    </row>
    <row r="431" spans="3:26" ht="16.5">
      <c r="C431" s="101"/>
      <c r="D431" s="101"/>
      <c r="E431" s="101"/>
      <c r="F431" s="101"/>
      <c r="G431" s="101"/>
      <c r="H431" s="101"/>
      <c r="I431" s="101"/>
      <c r="J431" s="101"/>
      <c r="S431" s="101"/>
      <c r="T431" s="241"/>
      <c r="U431" s="241"/>
      <c r="V431" s="241"/>
      <c r="W431" s="241"/>
      <c r="X431" s="241"/>
      <c r="Y431" s="241"/>
      <c r="Z431" s="241"/>
    </row>
    <row r="432" spans="3:26" ht="16.5">
      <c r="C432" s="101"/>
      <c r="D432" s="101"/>
      <c r="E432" s="101"/>
      <c r="F432" s="101"/>
      <c r="G432" s="101"/>
      <c r="H432" s="101"/>
      <c r="I432" s="101"/>
      <c r="J432" s="101"/>
      <c r="S432" s="101"/>
      <c r="T432" s="241"/>
      <c r="U432" s="241"/>
      <c r="V432" s="241"/>
      <c r="W432" s="241"/>
      <c r="X432" s="241"/>
      <c r="Y432" s="241"/>
      <c r="Z432" s="241"/>
    </row>
    <row r="433" spans="3:26" ht="16.5">
      <c r="C433" s="101"/>
      <c r="D433" s="101"/>
      <c r="E433" s="101"/>
      <c r="F433" s="101"/>
      <c r="G433" s="101"/>
      <c r="H433" s="101"/>
      <c r="I433" s="101"/>
      <c r="J433" s="101"/>
      <c r="S433" s="101"/>
      <c r="T433" s="241"/>
      <c r="U433" s="241"/>
      <c r="V433" s="241"/>
      <c r="W433" s="241"/>
      <c r="X433" s="241"/>
      <c r="Y433" s="241"/>
      <c r="Z433" s="241"/>
    </row>
    <row r="434" spans="3:26" ht="16.5">
      <c r="C434" s="101"/>
      <c r="D434" s="101"/>
      <c r="E434" s="101"/>
      <c r="F434" s="101"/>
      <c r="G434" s="101"/>
      <c r="H434" s="101"/>
      <c r="I434" s="101"/>
      <c r="J434" s="101"/>
      <c r="S434" s="101"/>
      <c r="T434" s="241"/>
      <c r="U434" s="241"/>
      <c r="V434" s="241"/>
      <c r="W434" s="241"/>
      <c r="X434" s="241"/>
      <c r="Y434" s="241"/>
      <c r="Z434" s="241"/>
    </row>
    <row r="435" spans="3:26" ht="16.5">
      <c r="C435" s="101"/>
      <c r="D435" s="101"/>
      <c r="E435" s="101"/>
      <c r="F435" s="101"/>
      <c r="G435" s="101"/>
      <c r="H435" s="101"/>
      <c r="I435" s="101"/>
      <c r="J435" s="101"/>
      <c r="S435" s="101"/>
      <c r="T435" s="241"/>
      <c r="U435" s="241"/>
      <c r="V435" s="241"/>
      <c r="W435" s="241"/>
      <c r="X435" s="241"/>
      <c r="Y435" s="241"/>
      <c r="Z435" s="241"/>
    </row>
    <row r="436" spans="3:26" ht="16.5">
      <c r="C436" s="101"/>
      <c r="D436" s="101"/>
      <c r="E436" s="101"/>
      <c r="F436" s="101"/>
      <c r="G436" s="101"/>
      <c r="H436" s="101"/>
      <c r="I436" s="101"/>
      <c r="J436" s="101"/>
      <c r="S436" s="101"/>
      <c r="T436" s="241"/>
      <c r="U436" s="241"/>
      <c r="V436" s="241"/>
      <c r="W436" s="241"/>
      <c r="X436" s="241"/>
      <c r="Y436" s="241"/>
      <c r="Z436" s="241"/>
    </row>
    <row r="437" spans="3:26" ht="16.5">
      <c r="C437" s="101"/>
      <c r="D437" s="101"/>
      <c r="E437" s="101"/>
      <c r="F437" s="101"/>
      <c r="G437" s="101"/>
      <c r="H437" s="101"/>
      <c r="I437" s="101"/>
      <c r="J437" s="101"/>
      <c r="S437" s="101"/>
      <c r="T437" s="241"/>
      <c r="U437" s="241"/>
      <c r="V437" s="241"/>
      <c r="W437" s="241"/>
      <c r="X437" s="241"/>
      <c r="Y437" s="241"/>
      <c r="Z437" s="241"/>
    </row>
    <row r="438" spans="3:26" ht="16.5">
      <c r="C438" s="101"/>
      <c r="D438" s="101"/>
      <c r="E438" s="101"/>
      <c r="F438" s="101"/>
      <c r="G438" s="101"/>
      <c r="H438" s="101"/>
      <c r="I438" s="101"/>
      <c r="J438" s="101"/>
      <c r="S438" s="101"/>
      <c r="T438" s="241"/>
      <c r="U438" s="241"/>
      <c r="V438" s="241"/>
      <c r="W438" s="241"/>
      <c r="X438" s="241"/>
      <c r="Y438" s="241"/>
      <c r="Z438" s="241"/>
    </row>
    <row r="439" spans="3:26" ht="16.5">
      <c r="C439" s="101"/>
      <c r="D439" s="101"/>
      <c r="E439" s="101"/>
      <c r="F439" s="101"/>
      <c r="G439" s="101"/>
      <c r="H439" s="101"/>
      <c r="I439" s="101"/>
      <c r="J439" s="101"/>
      <c r="S439" s="101"/>
      <c r="T439" s="241"/>
      <c r="U439" s="241"/>
      <c r="V439" s="241"/>
      <c r="W439" s="241"/>
      <c r="X439" s="241"/>
      <c r="Y439" s="241"/>
      <c r="Z439" s="241"/>
    </row>
    <row r="440" spans="3:26" ht="16.5">
      <c r="C440" s="101"/>
      <c r="D440" s="101"/>
      <c r="E440" s="101"/>
      <c r="F440" s="101"/>
      <c r="G440" s="101"/>
      <c r="H440" s="101"/>
      <c r="I440" s="101"/>
      <c r="J440" s="101"/>
      <c r="S440" s="101"/>
      <c r="T440" s="241"/>
      <c r="U440" s="241"/>
      <c r="V440" s="241"/>
      <c r="W440" s="241"/>
      <c r="X440" s="241"/>
      <c r="Y440" s="241"/>
      <c r="Z440" s="241"/>
    </row>
    <row r="441" spans="3:26" ht="16.5">
      <c r="C441" s="101"/>
      <c r="D441" s="101"/>
      <c r="E441" s="101"/>
      <c r="F441" s="101"/>
      <c r="G441" s="101"/>
      <c r="H441" s="101"/>
      <c r="I441" s="101"/>
      <c r="J441" s="101"/>
      <c r="S441" s="101"/>
      <c r="T441" s="241"/>
      <c r="U441" s="241"/>
      <c r="V441" s="241"/>
      <c r="W441" s="241"/>
      <c r="X441" s="241"/>
      <c r="Y441" s="241"/>
      <c r="Z441" s="241"/>
    </row>
    <row r="442" spans="3:26" ht="16.5">
      <c r="C442" s="101"/>
      <c r="D442" s="101"/>
      <c r="E442" s="101"/>
      <c r="F442" s="101"/>
      <c r="G442" s="101"/>
      <c r="H442" s="101"/>
      <c r="I442" s="101"/>
      <c r="J442" s="101"/>
      <c r="S442" s="101"/>
      <c r="T442" s="241"/>
      <c r="U442" s="241"/>
      <c r="V442" s="241"/>
      <c r="W442" s="241"/>
      <c r="X442" s="241"/>
      <c r="Y442" s="241"/>
      <c r="Z442" s="241"/>
    </row>
    <row r="443" spans="3:26" ht="16.5">
      <c r="C443" s="101"/>
      <c r="D443" s="101"/>
      <c r="E443" s="101"/>
      <c r="F443" s="101"/>
      <c r="G443" s="101"/>
      <c r="H443" s="101"/>
      <c r="I443" s="101"/>
      <c r="J443" s="101"/>
      <c r="S443" s="101"/>
      <c r="T443" s="241"/>
      <c r="U443" s="241"/>
      <c r="V443" s="241"/>
      <c r="W443" s="241"/>
      <c r="X443" s="241"/>
      <c r="Y443" s="241"/>
      <c r="Z443" s="241"/>
    </row>
    <row r="444" spans="3:26" ht="16.5">
      <c r="C444" s="101"/>
      <c r="D444" s="101"/>
      <c r="E444" s="101"/>
      <c r="F444" s="101"/>
      <c r="G444" s="101"/>
      <c r="H444" s="101"/>
      <c r="I444" s="101"/>
      <c r="J444" s="101"/>
      <c r="S444" s="101"/>
      <c r="T444" s="241"/>
      <c r="U444" s="241"/>
      <c r="V444" s="241"/>
      <c r="W444" s="241"/>
      <c r="X444" s="241"/>
      <c r="Y444" s="241"/>
      <c r="Z444" s="241"/>
    </row>
    <row r="445" spans="3:26" ht="16.5">
      <c r="C445" s="101"/>
      <c r="D445" s="101"/>
      <c r="E445" s="101"/>
      <c r="F445" s="101"/>
      <c r="G445" s="101"/>
      <c r="H445" s="101"/>
      <c r="I445" s="101"/>
      <c r="J445" s="101"/>
      <c r="S445" s="101"/>
      <c r="T445" s="241"/>
      <c r="U445" s="241"/>
      <c r="V445" s="241"/>
      <c r="W445" s="241"/>
      <c r="X445" s="241"/>
      <c r="Y445" s="241"/>
      <c r="Z445" s="241"/>
    </row>
    <row r="446" spans="3:26" ht="16.5">
      <c r="C446" s="101"/>
      <c r="D446" s="101"/>
      <c r="E446" s="101"/>
      <c r="F446" s="101"/>
      <c r="G446" s="101"/>
      <c r="H446" s="101"/>
      <c r="I446" s="101"/>
      <c r="J446" s="101"/>
      <c r="S446" s="101"/>
      <c r="T446" s="241"/>
      <c r="U446" s="241"/>
      <c r="V446" s="241"/>
      <c r="W446" s="241"/>
      <c r="X446" s="241"/>
      <c r="Y446" s="241"/>
      <c r="Z446" s="241"/>
    </row>
    <row r="447" spans="3:26" ht="16.5">
      <c r="C447" s="101"/>
      <c r="D447" s="101"/>
      <c r="E447" s="101"/>
      <c r="F447" s="101"/>
      <c r="G447" s="101"/>
      <c r="H447" s="101"/>
      <c r="I447" s="101"/>
      <c r="J447" s="101"/>
      <c r="S447" s="101"/>
      <c r="T447" s="241"/>
      <c r="U447" s="241"/>
      <c r="V447" s="241"/>
      <c r="W447" s="241"/>
      <c r="X447" s="241"/>
      <c r="Y447" s="241"/>
      <c r="Z447" s="241"/>
    </row>
    <row r="448" spans="3:26" ht="16.5">
      <c r="C448" s="101"/>
      <c r="D448" s="101"/>
      <c r="E448" s="101"/>
      <c r="F448" s="101"/>
      <c r="G448" s="101"/>
      <c r="H448" s="101"/>
      <c r="I448" s="101"/>
      <c r="J448" s="101"/>
      <c r="S448" s="101"/>
      <c r="T448" s="241"/>
      <c r="U448" s="241"/>
      <c r="V448" s="241"/>
      <c r="W448" s="241"/>
      <c r="X448" s="241"/>
      <c r="Y448" s="241"/>
      <c r="Z448" s="241"/>
    </row>
    <row r="449" spans="3:26" ht="16.5">
      <c r="C449" s="101"/>
      <c r="D449" s="101"/>
      <c r="E449" s="101"/>
      <c r="F449" s="101"/>
      <c r="G449" s="101"/>
      <c r="H449" s="101"/>
      <c r="I449" s="101"/>
      <c r="J449" s="101"/>
      <c r="S449" s="101"/>
      <c r="T449" s="241"/>
      <c r="U449" s="241"/>
      <c r="V449" s="241"/>
      <c r="W449" s="241"/>
      <c r="X449" s="241"/>
      <c r="Y449" s="241"/>
      <c r="Z449" s="241"/>
    </row>
    <row r="450" spans="3:26" ht="16.5">
      <c r="C450" s="101"/>
      <c r="D450" s="101"/>
      <c r="E450" s="101"/>
      <c r="F450" s="101"/>
      <c r="G450" s="101"/>
      <c r="H450" s="101"/>
      <c r="I450" s="101"/>
      <c r="J450" s="101"/>
      <c r="S450" s="101"/>
      <c r="T450" s="241"/>
      <c r="U450" s="241"/>
      <c r="V450" s="241"/>
      <c r="W450" s="241"/>
      <c r="X450" s="241"/>
      <c r="Y450" s="241"/>
      <c r="Z450" s="241"/>
    </row>
    <row r="451" spans="3:26" ht="16.5">
      <c r="C451" s="101"/>
      <c r="D451" s="101"/>
      <c r="E451" s="101"/>
      <c r="F451" s="101"/>
      <c r="G451" s="101"/>
      <c r="H451" s="101"/>
      <c r="I451" s="101"/>
      <c r="J451" s="101"/>
      <c r="S451" s="101"/>
      <c r="T451" s="241"/>
      <c r="U451" s="241"/>
      <c r="V451" s="241"/>
      <c r="W451" s="241"/>
      <c r="X451" s="241"/>
      <c r="Y451" s="241"/>
      <c r="Z451" s="241"/>
    </row>
    <row r="452" spans="3:26" ht="16.5">
      <c r="C452" s="101"/>
      <c r="D452" s="101"/>
      <c r="E452" s="101"/>
      <c r="F452" s="101"/>
      <c r="G452" s="101"/>
      <c r="H452" s="101"/>
      <c r="I452" s="101"/>
      <c r="J452" s="101"/>
      <c r="S452" s="101"/>
      <c r="T452" s="241"/>
      <c r="U452" s="241"/>
      <c r="V452" s="241"/>
      <c r="W452" s="241"/>
      <c r="X452" s="241"/>
      <c r="Y452" s="241"/>
      <c r="Z452" s="241"/>
    </row>
    <row r="453" spans="3:26" ht="16.5">
      <c r="C453" s="101"/>
      <c r="D453" s="101"/>
      <c r="E453" s="101"/>
      <c r="F453" s="101"/>
      <c r="G453" s="101"/>
      <c r="H453" s="101"/>
      <c r="I453" s="101"/>
      <c r="J453" s="101"/>
      <c r="S453" s="101"/>
      <c r="T453" s="241"/>
      <c r="U453" s="241"/>
      <c r="V453" s="241"/>
      <c r="W453" s="241"/>
      <c r="X453" s="241"/>
      <c r="Y453" s="241"/>
      <c r="Z453" s="241"/>
    </row>
    <row r="454" spans="3:26" ht="16.5">
      <c r="C454" s="101"/>
      <c r="D454" s="101"/>
      <c r="E454" s="101"/>
      <c r="F454" s="101"/>
      <c r="G454" s="101"/>
      <c r="H454" s="101"/>
      <c r="I454" s="101"/>
      <c r="J454" s="101"/>
      <c r="S454" s="101"/>
      <c r="T454" s="241"/>
      <c r="U454" s="241"/>
      <c r="V454" s="241"/>
      <c r="W454" s="241"/>
      <c r="X454" s="241"/>
      <c r="Y454" s="241"/>
      <c r="Z454" s="241"/>
    </row>
    <row r="455" spans="3:26" ht="16.5">
      <c r="C455" s="101"/>
      <c r="D455" s="101"/>
      <c r="E455" s="101"/>
      <c r="F455" s="101"/>
      <c r="G455" s="101"/>
      <c r="H455" s="101"/>
      <c r="I455" s="101"/>
      <c r="J455" s="101"/>
      <c r="S455" s="101"/>
      <c r="T455" s="241"/>
      <c r="U455" s="241"/>
      <c r="V455" s="241"/>
      <c r="W455" s="241"/>
      <c r="X455" s="241"/>
      <c r="Y455" s="241"/>
      <c r="Z455" s="241"/>
    </row>
    <row r="456" spans="3:26" ht="16.5">
      <c r="C456" s="101"/>
      <c r="D456" s="101"/>
      <c r="E456" s="101"/>
      <c r="F456" s="101"/>
      <c r="G456" s="101"/>
      <c r="H456" s="101"/>
      <c r="I456" s="101"/>
      <c r="J456" s="101"/>
      <c r="S456" s="101"/>
      <c r="T456" s="241"/>
      <c r="U456" s="241"/>
      <c r="V456" s="241"/>
      <c r="W456" s="241"/>
      <c r="X456" s="241"/>
      <c r="Y456" s="241"/>
      <c r="Z456" s="241"/>
    </row>
    <row r="457" spans="3:26" ht="16.5">
      <c r="C457" s="101"/>
      <c r="D457" s="101"/>
      <c r="E457" s="101"/>
      <c r="F457" s="101"/>
      <c r="G457" s="101"/>
      <c r="H457" s="101"/>
      <c r="I457" s="101"/>
      <c r="J457" s="101"/>
      <c r="S457" s="101"/>
      <c r="T457" s="241"/>
      <c r="U457" s="241"/>
      <c r="V457" s="241"/>
      <c r="W457" s="241"/>
      <c r="X457" s="241"/>
      <c r="Y457" s="241"/>
      <c r="Z457" s="241"/>
    </row>
    <row r="458" spans="3:26" ht="16.5">
      <c r="C458" s="101"/>
      <c r="D458" s="101"/>
      <c r="E458" s="101"/>
      <c r="F458" s="101"/>
      <c r="G458" s="101"/>
      <c r="H458" s="101"/>
      <c r="I458" s="101"/>
      <c r="J458" s="101"/>
      <c r="S458" s="101"/>
      <c r="T458" s="241"/>
      <c r="U458" s="241"/>
      <c r="V458" s="241"/>
      <c r="W458" s="241"/>
      <c r="X458" s="241"/>
      <c r="Y458" s="241"/>
      <c r="Z458" s="241"/>
    </row>
    <row r="459" spans="3:26" ht="16.5">
      <c r="C459" s="101"/>
      <c r="D459" s="101"/>
      <c r="E459" s="101"/>
      <c r="F459" s="101"/>
      <c r="G459" s="101"/>
      <c r="H459" s="101"/>
      <c r="I459" s="101"/>
      <c r="J459" s="101"/>
      <c r="S459" s="101"/>
      <c r="T459" s="241"/>
      <c r="U459" s="241"/>
      <c r="V459" s="241"/>
      <c r="W459" s="241"/>
      <c r="X459" s="241"/>
      <c r="Y459" s="241"/>
      <c r="Z459" s="241"/>
    </row>
    <row r="460" spans="3:26" ht="16.5">
      <c r="C460" s="101"/>
      <c r="D460" s="101"/>
      <c r="E460" s="101"/>
      <c r="F460" s="101"/>
      <c r="G460" s="101"/>
      <c r="H460" s="101"/>
      <c r="I460" s="101"/>
      <c r="J460" s="101"/>
      <c r="S460" s="101"/>
      <c r="T460" s="241"/>
      <c r="U460" s="241"/>
      <c r="V460" s="241"/>
      <c r="W460" s="241"/>
      <c r="X460" s="241"/>
      <c r="Y460" s="241"/>
      <c r="Z460" s="241"/>
    </row>
    <row r="461" spans="3:26" ht="16.5">
      <c r="C461" s="101"/>
      <c r="D461" s="101"/>
      <c r="E461" s="101"/>
      <c r="F461" s="101"/>
      <c r="G461" s="101"/>
      <c r="H461" s="101"/>
      <c r="I461" s="101"/>
      <c r="J461" s="101"/>
      <c r="S461" s="101"/>
      <c r="T461" s="241"/>
      <c r="U461" s="241"/>
      <c r="V461" s="241"/>
      <c r="W461" s="241"/>
      <c r="X461" s="241"/>
      <c r="Y461" s="241"/>
      <c r="Z461" s="241"/>
    </row>
    <row r="462" spans="3:26" ht="16.5">
      <c r="C462" s="101"/>
      <c r="D462" s="101"/>
      <c r="E462" s="101"/>
      <c r="F462" s="101"/>
      <c r="G462" s="101"/>
      <c r="H462" s="101"/>
      <c r="I462" s="101"/>
      <c r="J462" s="101"/>
      <c r="S462" s="101"/>
      <c r="T462" s="241"/>
      <c r="U462" s="241"/>
      <c r="V462" s="241"/>
      <c r="W462" s="241"/>
      <c r="X462" s="241"/>
      <c r="Y462" s="241"/>
      <c r="Z462" s="241"/>
    </row>
    <row r="463" spans="3:26" ht="16.5">
      <c r="C463" s="101"/>
      <c r="D463" s="101"/>
      <c r="E463" s="101"/>
      <c r="F463" s="101"/>
      <c r="G463" s="101"/>
      <c r="H463" s="101"/>
      <c r="I463" s="101"/>
      <c r="J463" s="101"/>
      <c r="S463" s="101"/>
      <c r="T463" s="241"/>
      <c r="U463" s="241"/>
      <c r="V463" s="241"/>
      <c r="W463" s="241"/>
      <c r="X463" s="241"/>
      <c r="Y463" s="241"/>
      <c r="Z463" s="241"/>
    </row>
    <row r="464" spans="3:26" ht="16.5">
      <c r="C464" s="101"/>
      <c r="D464" s="101"/>
      <c r="E464" s="101"/>
      <c r="F464" s="101"/>
      <c r="G464" s="101"/>
      <c r="H464" s="101"/>
      <c r="I464" s="101"/>
      <c r="J464" s="101"/>
      <c r="S464" s="101"/>
      <c r="T464" s="241"/>
      <c r="U464" s="241"/>
      <c r="V464" s="241"/>
      <c r="W464" s="241"/>
      <c r="X464" s="241"/>
      <c r="Y464" s="241"/>
      <c r="Z464" s="241"/>
    </row>
    <row r="465" spans="3:26" ht="16.5">
      <c r="C465" s="101"/>
      <c r="D465" s="101"/>
      <c r="E465" s="101"/>
      <c r="F465" s="101"/>
      <c r="G465" s="101"/>
      <c r="H465" s="101"/>
      <c r="I465" s="101"/>
      <c r="J465" s="101"/>
      <c r="S465" s="101"/>
      <c r="T465" s="241"/>
      <c r="U465" s="241"/>
      <c r="V465" s="241"/>
      <c r="W465" s="241"/>
      <c r="X465" s="241"/>
      <c r="Y465" s="241"/>
      <c r="Z465" s="241"/>
    </row>
    <row r="466" spans="3:26" ht="16.5">
      <c r="C466" s="101"/>
      <c r="D466" s="101"/>
      <c r="E466" s="101"/>
      <c r="F466" s="101"/>
      <c r="G466" s="101"/>
      <c r="H466" s="101"/>
      <c r="I466" s="101"/>
      <c r="J466" s="101"/>
      <c r="S466" s="101"/>
      <c r="T466" s="241"/>
      <c r="U466" s="241"/>
      <c r="V466" s="241"/>
      <c r="W466" s="241"/>
      <c r="X466" s="241"/>
      <c r="Y466" s="241"/>
      <c r="Z466" s="241"/>
    </row>
    <row r="467" spans="3:26" ht="16.5">
      <c r="C467" s="101"/>
      <c r="D467" s="101"/>
      <c r="E467" s="101"/>
      <c r="F467" s="101"/>
      <c r="G467" s="101"/>
      <c r="H467" s="101"/>
      <c r="I467" s="101"/>
      <c r="J467" s="101"/>
      <c r="S467" s="101"/>
      <c r="T467" s="241"/>
      <c r="U467" s="241"/>
      <c r="V467" s="241"/>
      <c r="W467" s="241"/>
      <c r="X467" s="241"/>
      <c r="Y467" s="241"/>
      <c r="Z467" s="241"/>
    </row>
    <row r="468" spans="3:26" ht="16.5">
      <c r="C468" s="101"/>
      <c r="D468" s="101"/>
      <c r="E468" s="101"/>
      <c r="F468" s="101"/>
      <c r="G468" s="101"/>
      <c r="H468" s="101"/>
      <c r="I468" s="101"/>
      <c r="J468" s="101"/>
      <c r="S468" s="101"/>
      <c r="T468" s="241"/>
      <c r="U468" s="241"/>
      <c r="V468" s="241"/>
      <c r="W468" s="241"/>
      <c r="X468" s="241"/>
      <c r="Y468" s="241"/>
      <c r="Z468" s="241"/>
    </row>
    <row r="469" spans="3:26" ht="16.5">
      <c r="C469" s="101"/>
      <c r="D469" s="101"/>
      <c r="E469" s="101"/>
      <c r="F469" s="101"/>
      <c r="G469" s="101"/>
      <c r="H469" s="101"/>
      <c r="I469" s="101"/>
      <c r="J469" s="101"/>
      <c r="S469" s="101"/>
      <c r="T469" s="241"/>
      <c r="U469" s="241"/>
      <c r="V469" s="241"/>
      <c r="W469" s="241"/>
      <c r="X469" s="241"/>
      <c r="Y469" s="241"/>
      <c r="Z469" s="241"/>
    </row>
    <row r="470" spans="3:26" ht="16.5">
      <c r="C470" s="101"/>
      <c r="D470" s="101"/>
      <c r="E470" s="101"/>
      <c r="F470" s="101"/>
      <c r="G470" s="101"/>
      <c r="H470" s="101"/>
      <c r="I470" s="101"/>
      <c r="J470" s="101"/>
      <c r="S470" s="101"/>
      <c r="T470" s="241"/>
      <c r="U470" s="241"/>
      <c r="V470" s="241"/>
      <c r="W470" s="241"/>
      <c r="X470" s="241"/>
      <c r="Y470" s="241"/>
      <c r="Z470" s="241"/>
    </row>
    <row r="471" spans="3:26" ht="16.5">
      <c r="C471" s="101"/>
      <c r="D471" s="101"/>
      <c r="E471" s="101"/>
      <c r="F471" s="101"/>
      <c r="G471" s="101"/>
      <c r="H471" s="101"/>
      <c r="I471" s="101"/>
      <c r="J471" s="101"/>
      <c r="S471" s="101"/>
      <c r="T471" s="241"/>
      <c r="U471" s="241"/>
      <c r="V471" s="241"/>
      <c r="W471" s="241"/>
      <c r="X471" s="241"/>
      <c r="Y471" s="241"/>
      <c r="Z471" s="241"/>
    </row>
    <row r="472" spans="3:26" ht="16.5">
      <c r="C472" s="101"/>
      <c r="D472" s="101"/>
      <c r="E472" s="101"/>
      <c r="F472" s="101"/>
      <c r="G472" s="101"/>
      <c r="H472" s="101"/>
      <c r="I472" s="101"/>
      <c r="J472" s="101"/>
      <c r="S472" s="101"/>
      <c r="T472" s="241"/>
      <c r="U472" s="241"/>
      <c r="V472" s="241"/>
      <c r="W472" s="241"/>
      <c r="X472" s="241"/>
      <c r="Y472" s="241"/>
      <c r="Z472" s="241"/>
    </row>
    <row r="473" spans="3:26" ht="16.5">
      <c r="C473" s="101"/>
      <c r="D473" s="101"/>
      <c r="E473" s="101"/>
      <c r="F473" s="101"/>
      <c r="G473" s="101"/>
      <c r="H473" s="101"/>
      <c r="I473" s="101"/>
      <c r="J473" s="101"/>
      <c r="S473" s="101"/>
      <c r="T473" s="241"/>
      <c r="U473" s="241"/>
      <c r="V473" s="241"/>
      <c r="W473" s="241"/>
      <c r="X473" s="241"/>
      <c r="Y473" s="241"/>
      <c r="Z473" s="241"/>
    </row>
    <row r="474" spans="3:26" ht="16.5">
      <c r="C474" s="101"/>
      <c r="D474" s="101"/>
      <c r="E474" s="101"/>
      <c r="F474" s="101"/>
      <c r="G474" s="101"/>
      <c r="H474" s="101"/>
      <c r="I474" s="101"/>
      <c r="J474" s="101"/>
      <c r="S474" s="101"/>
      <c r="T474" s="241"/>
      <c r="U474" s="241"/>
      <c r="V474" s="241"/>
      <c r="W474" s="241"/>
      <c r="X474" s="241"/>
      <c r="Y474" s="241"/>
      <c r="Z474" s="241"/>
    </row>
    <row r="475" spans="3:26" ht="16.5">
      <c r="C475" s="101"/>
      <c r="D475" s="101"/>
      <c r="E475" s="101"/>
      <c r="F475" s="101"/>
      <c r="G475" s="101"/>
      <c r="H475" s="101"/>
      <c r="I475" s="101"/>
      <c r="J475" s="101"/>
      <c r="S475" s="101"/>
      <c r="T475" s="241"/>
      <c r="U475" s="241"/>
      <c r="V475" s="241"/>
      <c r="W475" s="241"/>
      <c r="X475" s="241"/>
      <c r="Y475" s="241"/>
      <c r="Z475" s="241"/>
    </row>
    <row r="476" spans="3:26" ht="16.5">
      <c r="C476" s="101"/>
      <c r="D476" s="101"/>
      <c r="E476" s="101"/>
      <c r="F476" s="101"/>
      <c r="G476" s="101"/>
      <c r="H476" s="101"/>
      <c r="I476" s="101"/>
      <c r="J476" s="101"/>
      <c r="S476" s="101"/>
      <c r="T476" s="241"/>
      <c r="U476" s="241"/>
      <c r="V476" s="241"/>
      <c r="W476" s="241"/>
      <c r="X476" s="241"/>
      <c r="Y476" s="241"/>
      <c r="Z476" s="241"/>
    </row>
    <row r="477" spans="3:26" ht="16.5">
      <c r="C477" s="101"/>
      <c r="D477" s="101"/>
      <c r="E477" s="101"/>
      <c r="F477" s="101"/>
      <c r="G477" s="101"/>
      <c r="H477" s="101"/>
      <c r="I477" s="101"/>
      <c r="J477" s="101"/>
      <c r="S477" s="101"/>
      <c r="T477" s="241"/>
      <c r="U477" s="241"/>
      <c r="V477" s="241"/>
      <c r="W477" s="241"/>
      <c r="X477" s="241"/>
      <c r="Y477" s="241"/>
      <c r="Z477" s="241"/>
    </row>
    <row r="478" spans="3:26" ht="16.5">
      <c r="C478" s="101"/>
      <c r="D478" s="101"/>
      <c r="E478" s="101"/>
      <c r="F478" s="101"/>
      <c r="G478" s="101"/>
      <c r="H478" s="101"/>
      <c r="I478" s="101"/>
      <c r="J478" s="101"/>
      <c r="S478" s="101"/>
      <c r="T478" s="241"/>
      <c r="U478" s="241"/>
      <c r="V478" s="241"/>
      <c r="W478" s="241"/>
      <c r="X478" s="241"/>
      <c r="Y478" s="241"/>
      <c r="Z478" s="241"/>
    </row>
    <row r="479" spans="3:26" ht="16.5">
      <c r="C479" s="101"/>
      <c r="D479" s="101"/>
      <c r="E479" s="101"/>
      <c r="F479" s="101"/>
      <c r="G479" s="101"/>
      <c r="H479" s="101"/>
      <c r="I479" s="101"/>
      <c r="J479" s="101"/>
      <c r="S479" s="101"/>
      <c r="T479" s="241"/>
      <c r="U479" s="241"/>
      <c r="V479" s="241"/>
      <c r="W479" s="241"/>
      <c r="X479" s="241"/>
      <c r="Y479" s="241"/>
      <c r="Z479" s="241"/>
    </row>
    <row r="480" spans="3:26" ht="16.5">
      <c r="C480" s="101"/>
      <c r="D480" s="101"/>
      <c r="E480" s="101"/>
      <c r="F480" s="101"/>
      <c r="G480" s="101"/>
      <c r="H480" s="101"/>
      <c r="I480" s="101"/>
      <c r="J480" s="101"/>
      <c r="S480" s="101"/>
      <c r="T480" s="241"/>
      <c r="U480" s="241"/>
      <c r="V480" s="241"/>
      <c r="W480" s="241"/>
      <c r="X480" s="241"/>
      <c r="Y480" s="241"/>
      <c r="Z480" s="241"/>
    </row>
    <row r="481" spans="3:26" ht="16.5">
      <c r="C481" s="101"/>
      <c r="D481" s="101"/>
      <c r="E481" s="101"/>
      <c r="F481" s="101"/>
      <c r="G481" s="101"/>
      <c r="H481" s="101"/>
      <c r="I481" s="101"/>
      <c r="J481" s="101"/>
      <c r="S481" s="101"/>
      <c r="T481" s="241"/>
      <c r="U481" s="241"/>
      <c r="V481" s="241"/>
      <c r="W481" s="241"/>
      <c r="X481" s="241"/>
      <c r="Y481" s="241"/>
      <c r="Z481" s="241"/>
    </row>
    <row r="482" spans="3:26" ht="16.5">
      <c r="C482" s="101"/>
      <c r="D482" s="101"/>
      <c r="E482" s="101"/>
      <c r="F482" s="101"/>
      <c r="G482" s="101"/>
      <c r="H482" s="101"/>
      <c r="I482" s="101"/>
      <c r="J482" s="101"/>
      <c r="S482" s="101"/>
      <c r="T482" s="241"/>
      <c r="U482" s="241"/>
      <c r="V482" s="241"/>
      <c r="W482" s="241"/>
      <c r="X482" s="241"/>
      <c r="Y482" s="241"/>
      <c r="Z482" s="241"/>
    </row>
    <row r="483" spans="3:26" ht="16.5">
      <c r="C483" s="101"/>
      <c r="D483" s="101"/>
      <c r="E483" s="101"/>
      <c r="F483" s="101"/>
      <c r="G483" s="101"/>
      <c r="H483" s="101"/>
      <c r="I483" s="101"/>
      <c r="J483" s="101"/>
      <c r="S483" s="101"/>
      <c r="T483" s="241"/>
      <c r="U483" s="241"/>
      <c r="V483" s="241"/>
      <c r="W483" s="241"/>
      <c r="X483" s="241"/>
      <c r="Y483" s="241"/>
      <c r="Z483" s="241"/>
    </row>
    <row r="484" spans="3:26" ht="16.5">
      <c r="C484" s="101"/>
      <c r="D484" s="101"/>
      <c r="E484" s="101"/>
      <c r="F484" s="101"/>
      <c r="G484" s="101"/>
      <c r="H484" s="101"/>
      <c r="I484" s="101"/>
      <c r="J484" s="101"/>
      <c r="S484" s="101"/>
      <c r="T484" s="241"/>
      <c r="U484" s="241"/>
      <c r="V484" s="241"/>
      <c r="W484" s="241"/>
      <c r="X484" s="241"/>
      <c r="Y484" s="241"/>
      <c r="Z484" s="241"/>
    </row>
    <row r="485" spans="3:26" ht="16.5">
      <c r="C485" s="101"/>
      <c r="D485" s="101"/>
      <c r="E485" s="101"/>
      <c r="F485" s="101"/>
      <c r="G485" s="101"/>
      <c r="H485" s="101"/>
      <c r="I485" s="101"/>
      <c r="J485" s="101"/>
      <c r="S485" s="101"/>
      <c r="T485" s="241"/>
      <c r="U485" s="241"/>
      <c r="V485" s="241"/>
      <c r="W485" s="241"/>
      <c r="X485" s="241"/>
      <c r="Y485" s="241"/>
      <c r="Z485" s="241"/>
    </row>
    <row r="486" spans="3:26" ht="16.5">
      <c r="C486" s="101"/>
      <c r="D486" s="101"/>
      <c r="E486" s="101"/>
      <c r="F486" s="101"/>
      <c r="G486" s="101"/>
      <c r="H486" s="101"/>
      <c r="I486" s="101"/>
      <c r="J486" s="101"/>
      <c r="S486" s="101"/>
      <c r="T486" s="241"/>
      <c r="U486" s="241"/>
      <c r="V486" s="241"/>
      <c r="W486" s="241"/>
      <c r="X486" s="241"/>
      <c r="Y486" s="241"/>
      <c r="Z486" s="241"/>
    </row>
    <row r="487" spans="3:26" ht="16.5">
      <c r="C487" s="101"/>
      <c r="D487" s="101"/>
      <c r="E487" s="101"/>
      <c r="F487" s="101"/>
      <c r="G487" s="101"/>
      <c r="H487" s="101"/>
      <c r="I487" s="101"/>
      <c r="J487" s="101"/>
      <c r="S487" s="101"/>
      <c r="T487" s="241"/>
      <c r="U487" s="241"/>
      <c r="V487" s="241"/>
      <c r="W487" s="241"/>
      <c r="X487" s="241"/>
      <c r="Y487" s="241"/>
      <c r="Z487" s="241"/>
    </row>
    <row r="488" spans="3:26" ht="16.5">
      <c r="C488" s="101"/>
      <c r="D488" s="101"/>
      <c r="E488" s="101"/>
      <c r="F488" s="101"/>
      <c r="G488" s="101"/>
      <c r="H488" s="101"/>
      <c r="I488" s="101"/>
      <c r="J488" s="101"/>
      <c r="S488" s="101"/>
      <c r="T488" s="241"/>
      <c r="U488" s="241"/>
      <c r="V488" s="241"/>
      <c r="W488" s="241"/>
      <c r="X488" s="241"/>
      <c r="Y488" s="241"/>
      <c r="Z488" s="241"/>
    </row>
    <row r="489" spans="3:26" ht="16.5">
      <c r="C489" s="101"/>
      <c r="D489" s="101"/>
      <c r="E489" s="101"/>
      <c r="F489" s="101"/>
      <c r="G489" s="101"/>
      <c r="H489" s="101"/>
      <c r="I489" s="101"/>
      <c r="J489" s="101"/>
      <c r="S489" s="101"/>
      <c r="T489" s="241"/>
      <c r="U489" s="241"/>
      <c r="V489" s="241"/>
      <c r="W489" s="241"/>
      <c r="X489" s="241"/>
      <c r="Y489" s="241"/>
      <c r="Z489" s="241"/>
    </row>
    <row r="490" spans="3:26" ht="16.5">
      <c r="C490" s="101"/>
      <c r="D490" s="101"/>
      <c r="E490" s="101"/>
      <c r="F490" s="101"/>
      <c r="G490" s="101"/>
      <c r="H490" s="101"/>
      <c r="I490" s="101"/>
      <c r="J490" s="101"/>
      <c r="S490" s="101"/>
      <c r="T490" s="241"/>
      <c r="U490" s="241"/>
      <c r="V490" s="241"/>
      <c r="W490" s="241"/>
      <c r="X490" s="241"/>
      <c r="Y490" s="241"/>
      <c r="Z490" s="241"/>
    </row>
    <row r="491" spans="3:26" ht="16.5">
      <c r="C491" s="101"/>
      <c r="D491" s="101"/>
      <c r="E491" s="101"/>
      <c r="F491" s="101"/>
      <c r="G491" s="101"/>
      <c r="H491" s="101"/>
      <c r="I491" s="101"/>
      <c r="J491" s="101"/>
      <c r="S491" s="101"/>
      <c r="T491" s="241"/>
      <c r="U491" s="241"/>
      <c r="V491" s="241"/>
      <c r="W491" s="241"/>
      <c r="X491" s="241"/>
      <c r="Y491" s="241"/>
      <c r="Z491" s="241"/>
    </row>
    <row r="492" spans="3:26" ht="16.5">
      <c r="C492" s="101"/>
      <c r="D492" s="101"/>
      <c r="E492" s="101"/>
      <c r="F492" s="101"/>
      <c r="G492" s="101"/>
      <c r="H492" s="101"/>
      <c r="I492" s="101"/>
      <c r="J492" s="101"/>
      <c r="S492" s="101"/>
      <c r="T492" s="241"/>
      <c r="U492" s="241"/>
      <c r="V492" s="241"/>
      <c r="W492" s="241"/>
      <c r="X492" s="241"/>
      <c r="Y492" s="241"/>
      <c r="Z492" s="241"/>
    </row>
    <row r="493" spans="3:26" ht="16.5">
      <c r="C493" s="101"/>
      <c r="D493" s="101"/>
      <c r="E493" s="101"/>
      <c r="F493" s="101"/>
      <c r="G493" s="101"/>
      <c r="H493" s="101"/>
      <c r="I493" s="101"/>
      <c r="J493" s="101"/>
      <c r="S493" s="101"/>
      <c r="T493" s="241"/>
      <c r="U493" s="241"/>
      <c r="V493" s="241"/>
      <c r="W493" s="241"/>
      <c r="X493" s="241"/>
      <c r="Y493" s="241"/>
      <c r="Z493" s="241"/>
    </row>
    <row r="494" spans="3:26" ht="16.5">
      <c r="C494" s="101"/>
      <c r="D494" s="101"/>
      <c r="E494" s="101"/>
      <c r="F494" s="101"/>
      <c r="G494" s="101"/>
      <c r="H494" s="101"/>
      <c r="I494" s="101"/>
      <c r="J494" s="101"/>
      <c r="S494" s="101"/>
      <c r="T494" s="241"/>
      <c r="U494" s="241"/>
      <c r="V494" s="241"/>
      <c r="W494" s="241"/>
      <c r="X494" s="241"/>
      <c r="Y494" s="241"/>
      <c r="Z494" s="241"/>
    </row>
    <row r="495" spans="3:26" ht="16.5">
      <c r="C495" s="101"/>
      <c r="D495" s="101"/>
      <c r="E495" s="101"/>
      <c r="F495" s="101"/>
      <c r="G495" s="101"/>
      <c r="H495" s="101"/>
      <c r="I495" s="101"/>
      <c r="J495" s="101"/>
      <c r="S495" s="101"/>
      <c r="T495" s="241"/>
      <c r="U495" s="241"/>
      <c r="V495" s="241"/>
      <c r="W495" s="241"/>
      <c r="X495" s="241"/>
      <c r="Y495" s="241"/>
      <c r="Z495" s="241"/>
    </row>
    <row r="496" spans="3:26" ht="16.5">
      <c r="C496" s="101"/>
      <c r="D496" s="101"/>
      <c r="E496" s="101"/>
      <c r="F496" s="101"/>
      <c r="G496" s="101"/>
      <c r="H496" s="101"/>
      <c r="I496" s="101"/>
      <c r="J496" s="101"/>
      <c r="S496" s="101"/>
      <c r="T496" s="241"/>
      <c r="U496" s="241"/>
      <c r="V496" s="241"/>
      <c r="W496" s="241"/>
      <c r="X496" s="241"/>
      <c r="Y496" s="241"/>
      <c r="Z496" s="241"/>
    </row>
    <row r="497" spans="3:26" ht="16.5">
      <c r="C497" s="101"/>
      <c r="D497" s="101"/>
      <c r="E497" s="101"/>
      <c r="F497" s="101"/>
      <c r="G497" s="101"/>
      <c r="H497" s="101"/>
      <c r="I497" s="101"/>
      <c r="J497" s="101"/>
      <c r="S497" s="101"/>
      <c r="T497" s="241"/>
      <c r="U497" s="241"/>
      <c r="V497" s="241"/>
      <c r="W497" s="241"/>
      <c r="X497" s="241"/>
      <c r="Y497" s="241"/>
      <c r="Z497" s="241"/>
    </row>
    <row r="498" spans="3:26" ht="16.5">
      <c r="C498" s="101"/>
      <c r="D498" s="101"/>
      <c r="E498" s="101"/>
      <c r="F498" s="101"/>
      <c r="G498" s="101"/>
      <c r="H498" s="101"/>
      <c r="I498" s="101"/>
      <c r="J498" s="101"/>
      <c r="S498" s="101"/>
      <c r="T498" s="241"/>
      <c r="U498" s="241"/>
      <c r="V498" s="241"/>
      <c r="W498" s="241"/>
      <c r="X498" s="241"/>
      <c r="Y498" s="241"/>
      <c r="Z498" s="241"/>
    </row>
    <row r="499" spans="3:26" ht="16.5">
      <c r="C499" s="101"/>
      <c r="D499" s="101"/>
      <c r="E499" s="101"/>
      <c r="F499" s="101"/>
      <c r="G499" s="101"/>
      <c r="H499" s="101"/>
      <c r="I499" s="101"/>
      <c r="J499" s="101"/>
      <c r="S499" s="101"/>
      <c r="T499" s="241"/>
      <c r="U499" s="241"/>
      <c r="V499" s="241"/>
      <c r="W499" s="241"/>
      <c r="X499" s="241"/>
      <c r="Y499" s="241"/>
      <c r="Z499" s="241"/>
    </row>
    <row r="500" spans="3:26" ht="16.5">
      <c r="C500" s="101"/>
      <c r="D500" s="101"/>
      <c r="E500" s="101"/>
      <c r="F500" s="101"/>
      <c r="G500" s="101"/>
      <c r="H500" s="101"/>
      <c r="I500" s="101"/>
      <c r="J500" s="101"/>
      <c r="S500" s="101"/>
      <c r="T500" s="241"/>
      <c r="U500" s="241"/>
      <c r="V500" s="241"/>
      <c r="W500" s="241"/>
      <c r="X500" s="241"/>
      <c r="Y500" s="241"/>
      <c r="Z500" s="241"/>
    </row>
    <row r="501" spans="3:26" ht="16.5">
      <c r="C501" s="101"/>
      <c r="D501" s="101"/>
      <c r="E501" s="101"/>
      <c r="F501" s="101"/>
      <c r="G501" s="101"/>
      <c r="H501" s="101"/>
      <c r="I501" s="101"/>
      <c r="J501" s="101"/>
      <c r="S501" s="101"/>
      <c r="T501" s="241"/>
      <c r="U501" s="241"/>
      <c r="V501" s="241"/>
      <c r="W501" s="241"/>
      <c r="X501" s="241"/>
      <c r="Y501" s="241"/>
      <c r="Z501" s="241"/>
    </row>
    <row r="502" spans="3:26" ht="16.5">
      <c r="C502" s="101"/>
      <c r="D502" s="101"/>
      <c r="E502" s="101"/>
      <c r="F502" s="101"/>
      <c r="G502" s="101"/>
      <c r="H502" s="101"/>
      <c r="I502" s="101"/>
      <c r="J502" s="101"/>
      <c r="S502" s="101"/>
      <c r="T502" s="241"/>
      <c r="U502" s="241"/>
      <c r="V502" s="241"/>
      <c r="W502" s="241"/>
      <c r="X502" s="241"/>
      <c r="Y502" s="241"/>
      <c r="Z502" s="241"/>
    </row>
    <row r="503" spans="3:26" ht="16.5">
      <c r="C503" s="101"/>
      <c r="D503" s="101"/>
      <c r="E503" s="101"/>
      <c r="F503" s="101"/>
      <c r="G503" s="101"/>
      <c r="H503" s="101"/>
      <c r="I503" s="101"/>
      <c r="J503" s="101"/>
      <c r="S503" s="101"/>
      <c r="T503" s="241"/>
      <c r="U503" s="241"/>
      <c r="V503" s="241"/>
      <c r="W503" s="241"/>
      <c r="X503" s="241"/>
      <c r="Y503" s="241"/>
      <c r="Z503" s="241"/>
    </row>
    <row r="504" spans="3:26" ht="16.5">
      <c r="C504" s="101"/>
      <c r="D504" s="101"/>
      <c r="E504" s="101"/>
      <c r="F504" s="101"/>
      <c r="G504" s="101"/>
      <c r="H504" s="101"/>
      <c r="I504" s="101"/>
      <c r="J504" s="101"/>
      <c r="S504" s="101"/>
      <c r="T504" s="241"/>
      <c r="U504" s="241"/>
      <c r="V504" s="241"/>
      <c r="W504" s="241"/>
      <c r="X504" s="241"/>
      <c r="Y504" s="241"/>
      <c r="Z504" s="241"/>
    </row>
    <row r="505" spans="3:26" ht="16.5">
      <c r="C505" s="101"/>
      <c r="D505" s="101"/>
      <c r="E505" s="101"/>
      <c r="F505" s="101"/>
      <c r="G505" s="101"/>
      <c r="H505" s="101"/>
      <c r="I505" s="101"/>
      <c r="J505" s="101"/>
      <c r="S505" s="101"/>
      <c r="T505" s="241"/>
      <c r="U505" s="241"/>
      <c r="V505" s="241"/>
      <c r="W505" s="241"/>
      <c r="X505" s="241"/>
      <c r="Y505" s="241"/>
      <c r="Z505" s="241"/>
    </row>
    <row r="506" spans="3:26" ht="16.5">
      <c r="C506" s="101"/>
      <c r="D506" s="101"/>
      <c r="E506" s="101"/>
      <c r="F506" s="101"/>
      <c r="G506" s="101"/>
      <c r="H506" s="101"/>
      <c r="I506" s="101"/>
      <c r="J506" s="101"/>
      <c r="S506" s="101"/>
      <c r="T506" s="241"/>
      <c r="U506" s="241"/>
      <c r="V506" s="241"/>
      <c r="W506" s="241"/>
      <c r="X506" s="241"/>
      <c r="Y506" s="241"/>
      <c r="Z506" s="241"/>
    </row>
    <row r="507" spans="3:26" ht="16.5">
      <c r="C507" s="101"/>
      <c r="D507" s="101"/>
      <c r="E507" s="101"/>
      <c r="F507" s="101"/>
      <c r="G507" s="101"/>
      <c r="H507" s="101"/>
      <c r="I507" s="101"/>
      <c r="J507" s="101"/>
      <c r="S507" s="101"/>
      <c r="T507" s="241"/>
      <c r="U507" s="241"/>
      <c r="V507" s="241"/>
      <c r="W507" s="241"/>
      <c r="X507" s="241"/>
      <c r="Y507" s="241"/>
      <c r="Z507" s="241"/>
    </row>
    <row r="508" spans="3:26" ht="16.5">
      <c r="C508" s="101"/>
      <c r="D508" s="101"/>
      <c r="E508" s="101"/>
      <c r="F508" s="101"/>
      <c r="G508" s="101"/>
      <c r="H508" s="101"/>
      <c r="I508" s="101"/>
      <c r="J508" s="101"/>
      <c r="S508" s="101"/>
      <c r="T508" s="241"/>
      <c r="U508" s="241"/>
      <c r="V508" s="241"/>
      <c r="W508" s="241"/>
      <c r="X508" s="241"/>
      <c r="Y508" s="241"/>
      <c r="Z508" s="241"/>
    </row>
    <row r="509" spans="3:26" ht="16.5">
      <c r="C509" s="101"/>
      <c r="D509" s="101"/>
      <c r="E509" s="101"/>
      <c r="F509" s="101"/>
      <c r="G509" s="101"/>
      <c r="H509" s="101"/>
      <c r="I509" s="101"/>
      <c r="J509" s="101"/>
      <c r="S509" s="101"/>
      <c r="T509" s="241"/>
      <c r="U509" s="241"/>
      <c r="V509" s="241"/>
      <c r="W509" s="241"/>
      <c r="X509" s="241"/>
      <c r="Y509" s="241"/>
      <c r="Z509" s="241"/>
    </row>
    <row r="510" spans="3:26" ht="16.5">
      <c r="C510" s="101"/>
      <c r="D510" s="101"/>
      <c r="E510" s="101"/>
      <c r="F510" s="101"/>
      <c r="G510" s="101"/>
      <c r="H510" s="101"/>
      <c r="I510" s="101"/>
      <c r="J510" s="101"/>
      <c r="S510" s="101"/>
      <c r="T510" s="241"/>
      <c r="U510" s="241"/>
      <c r="V510" s="241"/>
      <c r="W510" s="241"/>
      <c r="X510" s="241"/>
      <c r="Y510" s="241"/>
      <c r="Z510" s="241"/>
    </row>
    <row r="511" spans="3:26" ht="16.5">
      <c r="C511" s="101"/>
      <c r="D511" s="101"/>
      <c r="E511" s="101"/>
      <c r="F511" s="101"/>
      <c r="G511" s="101"/>
      <c r="H511" s="101"/>
      <c r="I511" s="101"/>
      <c r="J511" s="101"/>
      <c r="S511" s="101"/>
      <c r="T511" s="241"/>
      <c r="U511" s="241"/>
      <c r="V511" s="241"/>
      <c r="W511" s="241"/>
      <c r="X511" s="241"/>
      <c r="Y511" s="241"/>
      <c r="Z511" s="241"/>
    </row>
    <row r="512" spans="3:26" ht="16.5">
      <c r="C512" s="101"/>
      <c r="D512" s="101"/>
      <c r="E512" s="101"/>
      <c r="F512" s="101"/>
      <c r="G512" s="101"/>
      <c r="H512" s="101"/>
      <c r="I512" s="101"/>
      <c r="J512" s="101"/>
      <c r="S512" s="101"/>
      <c r="T512" s="241"/>
      <c r="U512" s="241"/>
      <c r="V512" s="241"/>
      <c r="W512" s="241"/>
      <c r="X512" s="241"/>
      <c r="Y512" s="241"/>
      <c r="Z512" s="241"/>
    </row>
    <row r="513" spans="3:26" ht="16.5">
      <c r="C513" s="101"/>
      <c r="D513" s="101"/>
      <c r="E513" s="101"/>
      <c r="F513" s="101"/>
      <c r="G513" s="101"/>
      <c r="H513" s="101"/>
      <c r="I513" s="101"/>
      <c r="J513" s="101"/>
      <c r="S513" s="101"/>
      <c r="T513" s="241"/>
      <c r="U513" s="241"/>
      <c r="V513" s="241"/>
      <c r="W513" s="241"/>
      <c r="X513" s="241"/>
      <c r="Y513" s="241"/>
      <c r="Z513" s="241"/>
    </row>
    <row r="514" spans="3:26" ht="16.5">
      <c r="C514" s="101"/>
      <c r="D514" s="101"/>
      <c r="E514" s="101"/>
      <c r="F514" s="101"/>
      <c r="G514" s="101"/>
      <c r="H514" s="101"/>
      <c r="I514" s="101"/>
      <c r="J514" s="101"/>
      <c r="S514" s="101"/>
      <c r="T514" s="241"/>
      <c r="U514" s="241"/>
      <c r="V514" s="241"/>
      <c r="W514" s="241"/>
      <c r="X514" s="241"/>
      <c r="Y514" s="241"/>
      <c r="Z514" s="241"/>
    </row>
    <row r="515" spans="3:26" ht="16.5">
      <c r="C515" s="101"/>
      <c r="D515" s="101"/>
      <c r="E515" s="101"/>
      <c r="F515" s="101"/>
      <c r="G515" s="101"/>
      <c r="H515" s="101"/>
      <c r="I515" s="101"/>
      <c r="J515" s="101"/>
      <c r="S515" s="101"/>
      <c r="T515" s="241"/>
      <c r="U515" s="241"/>
      <c r="V515" s="241"/>
      <c r="W515" s="241"/>
      <c r="X515" s="241"/>
      <c r="Y515" s="241"/>
      <c r="Z515" s="241"/>
    </row>
    <row r="516" spans="3:26" ht="16.5">
      <c r="C516" s="101"/>
      <c r="D516" s="101"/>
      <c r="E516" s="101"/>
      <c r="F516" s="101"/>
      <c r="G516" s="101"/>
      <c r="H516" s="101"/>
      <c r="I516" s="101"/>
      <c r="J516" s="101"/>
      <c r="S516" s="101"/>
      <c r="T516" s="241"/>
      <c r="U516" s="241"/>
      <c r="V516" s="241"/>
      <c r="W516" s="241"/>
      <c r="X516" s="241"/>
      <c r="Y516" s="241"/>
      <c r="Z516" s="241"/>
    </row>
    <row r="517" spans="3:26" ht="16.5">
      <c r="C517" s="101"/>
      <c r="D517" s="101"/>
      <c r="E517" s="101"/>
      <c r="F517" s="101"/>
      <c r="G517" s="101"/>
      <c r="H517" s="101"/>
      <c r="I517" s="101"/>
      <c r="J517" s="101"/>
      <c r="S517" s="101"/>
      <c r="T517" s="241"/>
      <c r="U517" s="241"/>
      <c r="V517" s="241"/>
      <c r="W517" s="241"/>
      <c r="X517" s="241"/>
      <c r="Y517" s="241"/>
      <c r="Z517" s="241"/>
    </row>
    <row r="518" spans="3:26" ht="16.5">
      <c r="C518" s="101"/>
      <c r="D518" s="101"/>
      <c r="E518" s="101"/>
      <c r="F518" s="101"/>
      <c r="G518" s="101"/>
      <c r="H518" s="101"/>
      <c r="I518" s="101"/>
      <c r="J518" s="101"/>
      <c r="S518" s="101"/>
      <c r="T518" s="241"/>
      <c r="U518" s="241"/>
      <c r="V518" s="241"/>
      <c r="W518" s="241"/>
      <c r="X518" s="241"/>
      <c r="Y518" s="241"/>
      <c r="Z518" s="241"/>
    </row>
    <row r="519" spans="3:26" ht="16.5">
      <c r="C519" s="101"/>
      <c r="D519" s="101"/>
      <c r="E519" s="101"/>
      <c r="F519" s="101"/>
      <c r="G519" s="101"/>
      <c r="H519" s="101"/>
      <c r="I519" s="101"/>
      <c r="J519" s="101"/>
      <c r="S519" s="101"/>
      <c r="T519" s="241"/>
      <c r="U519" s="241"/>
      <c r="V519" s="241"/>
      <c r="W519" s="241"/>
      <c r="X519" s="241"/>
      <c r="Y519" s="241"/>
      <c r="Z519" s="241"/>
    </row>
    <row r="520" spans="3:26" ht="16.5">
      <c r="C520" s="101"/>
      <c r="D520" s="101"/>
      <c r="E520" s="101"/>
      <c r="F520" s="101"/>
      <c r="G520" s="101"/>
      <c r="H520" s="101"/>
      <c r="I520" s="101"/>
      <c r="J520" s="101"/>
      <c r="S520" s="101"/>
      <c r="T520" s="241"/>
      <c r="U520" s="241"/>
      <c r="V520" s="241"/>
      <c r="W520" s="241"/>
      <c r="X520" s="241"/>
      <c r="Y520" s="241"/>
      <c r="Z520" s="241"/>
    </row>
    <row r="521" spans="3:26" ht="16.5">
      <c r="C521" s="101"/>
      <c r="D521" s="101"/>
      <c r="E521" s="101"/>
      <c r="F521" s="101"/>
      <c r="G521" s="101"/>
      <c r="H521" s="101"/>
      <c r="I521" s="101"/>
      <c r="J521" s="101"/>
      <c r="S521" s="101"/>
      <c r="T521" s="241"/>
      <c r="U521" s="241"/>
      <c r="V521" s="241"/>
      <c r="W521" s="241"/>
      <c r="X521" s="241"/>
      <c r="Y521" s="241"/>
      <c r="Z521" s="241"/>
    </row>
    <row r="522" spans="3:26" ht="16.5">
      <c r="C522" s="101"/>
      <c r="D522" s="101"/>
      <c r="E522" s="101"/>
      <c r="F522" s="101"/>
      <c r="G522" s="101"/>
      <c r="H522" s="101"/>
      <c r="I522" s="101"/>
      <c r="J522" s="101"/>
      <c r="S522" s="101"/>
      <c r="T522" s="241"/>
      <c r="U522" s="241"/>
      <c r="V522" s="241"/>
      <c r="W522" s="241"/>
      <c r="X522" s="241"/>
      <c r="Y522" s="241"/>
      <c r="Z522" s="241"/>
    </row>
    <row r="523" spans="3:26" ht="16.5">
      <c r="C523" s="101"/>
      <c r="D523" s="101"/>
      <c r="E523" s="101"/>
      <c r="F523" s="101"/>
      <c r="G523" s="101"/>
      <c r="H523" s="101"/>
      <c r="I523" s="101"/>
      <c r="J523" s="101"/>
      <c r="S523" s="101"/>
      <c r="T523" s="241"/>
      <c r="U523" s="241"/>
      <c r="V523" s="241"/>
      <c r="W523" s="241"/>
      <c r="X523" s="241"/>
      <c r="Y523" s="241"/>
      <c r="Z523" s="241"/>
    </row>
    <row r="524" spans="3:26" ht="16.5">
      <c r="C524" s="101"/>
      <c r="D524" s="101"/>
      <c r="E524" s="101"/>
      <c r="F524" s="101"/>
      <c r="G524" s="101"/>
      <c r="H524" s="101"/>
      <c r="I524" s="101"/>
      <c r="J524" s="101"/>
      <c r="S524" s="101"/>
      <c r="T524" s="241"/>
      <c r="U524" s="241"/>
      <c r="V524" s="241"/>
      <c r="W524" s="241"/>
      <c r="X524" s="241"/>
      <c r="Y524" s="241"/>
      <c r="Z524" s="241"/>
    </row>
    <row r="525" spans="3:26" ht="16.5">
      <c r="C525" s="101"/>
      <c r="D525" s="101"/>
      <c r="E525" s="101"/>
      <c r="F525" s="101"/>
      <c r="G525" s="101"/>
      <c r="H525" s="101"/>
      <c r="I525" s="101"/>
      <c r="J525" s="101"/>
      <c r="S525" s="101"/>
      <c r="T525" s="241"/>
      <c r="U525" s="241"/>
      <c r="V525" s="241"/>
      <c r="W525" s="241"/>
      <c r="X525" s="241"/>
      <c r="Y525" s="241"/>
      <c r="Z525" s="241"/>
    </row>
    <row r="526" spans="3:26" ht="16.5">
      <c r="C526" s="101"/>
      <c r="D526" s="101"/>
      <c r="E526" s="101"/>
      <c r="F526" s="101"/>
      <c r="G526" s="101"/>
      <c r="H526" s="101"/>
      <c r="I526" s="101"/>
      <c r="J526" s="101"/>
      <c r="S526" s="101"/>
      <c r="T526" s="241"/>
      <c r="U526" s="241"/>
      <c r="V526" s="241"/>
      <c r="W526" s="241"/>
      <c r="X526" s="241"/>
      <c r="Y526" s="241"/>
      <c r="Z526" s="241"/>
    </row>
    <row r="527" spans="3:26" ht="16.5">
      <c r="C527" s="101"/>
      <c r="D527" s="101"/>
      <c r="E527" s="101"/>
      <c r="F527" s="101"/>
      <c r="G527" s="101"/>
      <c r="H527" s="101"/>
      <c r="I527" s="101"/>
      <c r="J527" s="101"/>
      <c r="S527" s="101"/>
      <c r="T527" s="241"/>
      <c r="U527" s="241"/>
      <c r="V527" s="241"/>
      <c r="W527" s="241"/>
      <c r="X527" s="241"/>
      <c r="Y527" s="241"/>
      <c r="Z527" s="241"/>
    </row>
    <row r="528" spans="3:26" ht="16.5">
      <c r="C528" s="101"/>
      <c r="D528" s="101"/>
      <c r="E528" s="101"/>
      <c r="F528" s="101"/>
      <c r="G528" s="101"/>
      <c r="H528" s="101"/>
      <c r="I528" s="101"/>
      <c r="J528" s="101"/>
      <c r="S528" s="101"/>
      <c r="T528" s="241"/>
      <c r="U528" s="241"/>
      <c r="V528" s="241"/>
      <c r="W528" s="241"/>
      <c r="X528" s="241"/>
      <c r="Y528" s="241"/>
      <c r="Z528" s="241"/>
    </row>
    <row r="529" spans="3:26" ht="16.5">
      <c r="C529" s="101"/>
      <c r="D529" s="101"/>
      <c r="E529" s="101"/>
      <c r="F529" s="101"/>
      <c r="G529" s="101"/>
      <c r="H529" s="101"/>
      <c r="I529" s="101"/>
      <c r="J529" s="101"/>
      <c r="S529" s="101"/>
      <c r="T529" s="241"/>
      <c r="U529" s="241"/>
      <c r="V529" s="241"/>
      <c r="W529" s="241"/>
      <c r="X529" s="241"/>
      <c r="Y529" s="241"/>
      <c r="Z529" s="241"/>
    </row>
    <row r="530" spans="3:26" ht="16.5">
      <c r="C530" s="101"/>
      <c r="D530" s="101"/>
      <c r="E530" s="101"/>
      <c r="F530" s="101"/>
      <c r="G530" s="101"/>
      <c r="H530" s="101"/>
      <c r="I530" s="101"/>
      <c r="J530" s="101"/>
      <c r="S530" s="101"/>
      <c r="T530" s="241"/>
      <c r="U530" s="241"/>
      <c r="V530" s="241"/>
      <c r="W530" s="241"/>
      <c r="X530" s="241"/>
      <c r="Y530" s="241"/>
      <c r="Z530" s="241"/>
    </row>
    <row r="531" spans="3:26" ht="16.5">
      <c r="C531" s="101"/>
      <c r="D531" s="101"/>
      <c r="E531" s="101"/>
      <c r="F531" s="101"/>
      <c r="G531" s="101"/>
      <c r="H531" s="101"/>
      <c r="I531" s="101"/>
      <c r="J531" s="101"/>
      <c r="S531" s="101"/>
      <c r="T531" s="241"/>
      <c r="U531" s="241"/>
      <c r="V531" s="241"/>
      <c r="W531" s="241"/>
      <c r="X531" s="241"/>
      <c r="Y531" s="241"/>
      <c r="Z531" s="241"/>
    </row>
    <row r="532" spans="3:26" ht="16.5">
      <c r="C532" s="101"/>
      <c r="D532" s="101"/>
      <c r="E532" s="101"/>
      <c r="F532" s="101"/>
      <c r="G532" s="101"/>
      <c r="H532" s="101"/>
      <c r="I532" s="101"/>
      <c r="J532" s="101"/>
      <c r="S532" s="101"/>
      <c r="T532" s="241"/>
      <c r="U532" s="241"/>
      <c r="V532" s="241"/>
      <c r="W532" s="241"/>
      <c r="X532" s="241"/>
      <c r="Y532" s="241"/>
      <c r="Z532" s="241"/>
    </row>
    <row r="533" spans="3:26" ht="16.5">
      <c r="C533" s="101"/>
      <c r="D533" s="101"/>
      <c r="E533" s="101"/>
      <c r="F533" s="101"/>
      <c r="G533" s="101"/>
      <c r="H533" s="101"/>
      <c r="I533" s="101"/>
      <c r="J533" s="101"/>
      <c r="S533" s="101"/>
      <c r="T533" s="241"/>
      <c r="U533" s="241"/>
      <c r="V533" s="241"/>
      <c r="W533" s="241"/>
      <c r="X533" s="241"/>
      <c r="Y533" s="241"/>
      <c r="Z533" s="241"/>
    </row>
    <row r="534" spans="3:26" ht="16.5">
      <c r="C534" s="101"/>
      <c r="D534" s="101"/>
      <c r="E534" s="101"/>
      <c r="F534" s="101"/>
      <c r="G534" s="101"/>
      <c r="H534" s="101"/>
      <c r="I534" s="101"/>
      <c r="J534" s="101"/>
      <c r="S534" s="101"/>
      <c r="T534" s="241"/>
      <c r="U534" s="241"/>
      <c r="V534" s="241"/>
      <c r="W534" s="241"/>
      <c r="X534" s="241"/>
      <c r="Y534" s="241"/>
      <c r="Z534" s="241"/>
    </row>
    <row r="535" spans="3:26" ht="16.5">
      <c r="C535" s="101"/>
      <c r="D535" s="101"/>
      <c r="E535" s="101"/>
      <c r="F535" s="101"/>
      <c r="G535" s="101"/>
      <c r="H535" s="101"/>
      <c r="I535" s="101"/>
      <c r="J535" s="101"/>
      <c r="S535" s="101"/>
      <c r="T535" s="241"/>
      <c r="U535" s="241"/>
      <c r="V535" s="241"/>
      <c r="W535" s="241"/>
      <c r="X535" s="241"/>
      <c r="Y535" s="241"/>
      <c r="Z535" s="241"/>
    </row>
    <row r="536" spans="3:26" ht="16.5">
      <c r="C536" s="101"/>
      <c r="D536" s="101"/>
      <c r="E536" s="101"/>
      <c r="F536" s="101"/>
      <c r="G536" s="101"/>
      <c r="H536" s="101"/>
      <c r="I536" s="101"/>
      <c r="J536" s="101"/>
      <c r="S536" s="101"/>
      <c r="T536" s="241"/>
      <c r="U536" s="241"/>
      <c r="V536" s="241"/>
      <c r="W536" s="241"/>
      <c r="X536" s="241"/>
      <c r="Y536" s="241"/>
      <c r="Z536" s="241"/>
    </row>
    <row r="537" spans="3:26" ht="16.5">
      <c r="C537" s="101"/>
      <c r="D537" s="101"/>
      <c r="E537" s="101"/>
      <c r="F537" s="101"/>
      <c r="G537" s="101"/>
      <c r="H537" s="101"/>
      <c r="I537" s="101"/>
      <c r="J537" s="101"/>
      <c r="S537" s="101"/>
      <c r="T537" s="241"/>
      <c r="U537" s="241"/>
      <c r="V537" s="241"/>
      <c r="W537" s="241"/>
      <c r="X537" s="241"/>
      <c r="Y537" s="241"/>
      <c r="Z537" s="241"/>
    </row>
    <row r="538" spans="3:26" ht="16.5">
      <c r="C538" s="101"/>
      <c r="D538" s="101"/>
      <c r="E538" s="101"/>
      <c r="F538" s="101"/>
      <c r="G538" s="101"/>
      <c r="H538" s="101"/>
      <c r="I538" s="101"/>
      <c r="J538" s="101"/>
      <c r="S538" s="101"/>
      <c r="T538" s="241"/>
      <c r="U538" s="241"/>
      <c r="V538" s="241"/>
      <c r="W538" s="241"/>
      <c r="X538" s="241"/>
      <c r="Y538" s="241"/>
      <c r="Z538" s="241"/>
    </row>
    <row r="539" spans="3:26" ht="16.5">
      <c r="C539" s="101"/>
      <c r="D539" s="101"/>
      <c r="E539" s="101"/>
      <c r="F539" s="101"/>
      <c r="G539" s="101"/>
      <c r="H539" s="101"/>
      <c r="I539" s="101"/>
      <c r="J539" s="101"/>
      <c r="S539" s="101"/>
      <c r="T539" s="241"/>
      <c r="U539" s="241"/>
      <c r="V539" s="241"/>
      <c r="W539" s="241"/>
      <c r="X539" s="241"/>
      <c r="Y539" s="241"/>
      <c r="Z539" s="241"/>
    </row>
    <row r="540" spans="3:26" ht="16.5">
      <c r="C540" s="101"/>
      <c r="D540" s="101"/>
      <c r="E540" s="101"/>
      <c r="F540" s="101"/>
      <c r="G540" s="101"/>
      <c r="H540" s="101"/>
      <c r="I540" s="101"/>
      <c r="J540" s="101"/>
      <c r="S540" s="101"/>
      <c r="T540" s="241"/>
      <c r="U540" s="241"/>
      <c r="V540" s="241"/>
      <c r="W540" s="241"/>
      <c r="X540" s="241"/>
      <c r="Y540" s="241"/>
      <c r="Z540" s="241"/>
    </row>
    <row r="541" spans="3:26" ht="16.5">
      <c r="C541" s="101"/>
      <c r="D541" s="101"/>
      <c r="E541" s="101"/>
      <c r="F541" s="101"/>
      <c r="G541" s="101"/>
      <c r="H541" s="101"/>
      <c r="I541" s="101"/>
      <c r="J541" s="101"/>
      <c r="S541" s="101"/>
      <c r="T541" s="241"/>
      <c r="U541" s="241"/>
      <c r="V541" s="241"/>
      <c r="W541" s="241"/>
      <c r="X541" s="241"/>
      <c r="Y541" s="241"/>
      <c r="Z541" s="241"/>
    </row>
    <row r="542" spans="3:26" ht="16.5">
      <c r="C542" s="101"/>
      <c r="D542" s="101"/>
      <c r="E542" s="101"/>
      <c r="F542" s="101"/>
      <c r="G542" s="101"/>
      <c r="H542" s="101"/>
      <c r="I542" s="101"/>
      <c r="J542" s="101"/>
      <c r="S542" s="101"/>
      <c r="T542" s="241"/>
      <c r="U542" s="241"/>
      <c r="V542" s="241"/>
      <c r="W542" s="241"/>
      <c r="X542" s="241"/>
      <c r="Y542" s="241"/>
      <c r="Z542" s="241"/>
    </row>
    <row r="543" spans="3:26" ht="16.5">
      <c r="C543" s="101"/>
      <c r="D543" s="101"/>
      <c r="E543" s="101"/>
      <c r="F543" s="101"/>
      <c r="G543" s="101"/>
      <c r="H543" s="101"/>
      <c r="I543" s="101"/>
      <c r="J543" s="101"/>
      <c r="S543" s="101"/>
      <c r="T543" s="241"/>
      <c r="U543" s="241"/>
      <c r="V543" s="241"/>
      <c r="W543" s="241"/>
      <c r="X543" s="241"/>
      <c r="Y543" s="241"/>
      <c r="Z543" s="241"/>
    </row>
    <row r="544" spans="3:26" ht="16.5">
      <c r="C544" s="101"/>
      <c r="D544" s="101"/>
      <c r="E544" s="101"/>
      <c r="F544" s="101"/>
      <c r="G544" s="101"/>
      <c r="H544" s="101"/>
      <c r="I544" s="101"/>
      <c r="J544" s="101"/>
      <c r="S544" s="101"/>
      <c r="T544" s="241"/>
      <c r="U544" s="241"/>
      <c r="V544" s="241"/>
      <c r="W544" s="241"/>
      <c r="X544" s="241"/>
      <c r="Y544" s="241"/>
      <c r="Z544" s="241"/>
    </row>
    <row r="545" spans="3:26" ht="16.5">
      <c r="C545" s="101"/>
      <c r="D545" s="101"/>
      <c r="E545" s="101"/>
      <c r="F545" s="101"/>
      <c r="G545" s="101"/>
      <c r="H545" s="101"/>
      <c r="I545" s="101"/>
      <c r="J545" s="101"/>
      <c r="S545" s="101"/>
      <c r="T545" s="241"/>
      <c r="U545" s="241"/>
      <c r="V545" s="241"/>
      <c r="W545" s="241"/>
      <c r="X545" s="241"/>
      <c r="Y545" s="241"/>
      <c r="Z545" s="241"/>
    </row>
    <row r="546" spans="3:26" ht="16.5">
      <c r="C546" s="101"/>
      <c r="D546" s="101"/>
      <c r="E546" s="101"/>
      <c r="F546" s="101"/>
      <c r="G546" s="101"/>
      <c r="H546" s="101"/>
      <c r="I546" s="101"/>
      <c r="J546" s="101"/>
      <c r="S546" s="101"/>
      <c r="T546" s="241"/>
      <c r="U546" s="241"/>
      <c r="V546" s="241"/>
      <c r="W546" s="241"/>
      <c r="X546" s="241"/>
      <c r="Y546" s="241"/>
      <c r="Z546" s="241"/>
    </row>
    <row r="547" spans="3:26" ht="16.5">
      <c r="C547" s="101"/>
      <c r="D547" s="101"/>
      <c r="E547" s="101"/>
      <c r="F547" s="101"/>
      <c r="G547" s="101"/>
      <c r="H547" s="101"/>
      <c r="I547" s="101"/>
      <c r="J547" s="101"/>
      <c r="S547" s="101"/>
      <c r="T547" s="241"/>
      <c r="U547" s="241"/>
      <c r="V547" s="241"/>
      <c r="W547" s="241"/>
      <c r="X547" s="241"/>
      <c r="Y547" s="241"/>
      <c r="Z547" s="241"/>
    </row>
    <row r="548" spans="3:26" ht="16.5">
      <c r="C548" s="101"/>
      <c r="D548" s="101"/>
      <c r="E548" s="101"/>
      <c r="F548" s="101"/>
      <c r="G548" s="101"/>
      <c r="H548" s="101"/>
      <c r="I548" s="101"/>
      <c r="J548" s="101"/>
      <c r="S548" s="101"/>
      <c r="T548" s="241"/>
      <c r="U548" s="241"/>
      <c r="V548" s="241"/>
      <c r="W548" s="241"/>
      <c r="X548" s="241"/>
      <c r="Y548" s="241"/>
      <c r="Z548" s="241"/>
    </row>
    <row r="549" spans="3:26" ht="16.5">
      <c r="C549" s="101"/>
      <c r="D549" s="101"/>
      <c r="E549" s="101"/>
      <c r="F549" s="101"/>
      <c r="G549" s="101"/>
      <c r="H549" s="101"/>
      <c r="I549" s="101"/>
      <c r="J549" s="101"/>
      <c r="S549" s="101"/>
      <c r="T549" s="241"/>
      <c r="U549" s="241"/>
      <c r="V549" s="241"/>
      <c r="W549" s="241"/>
      <c r="X549" s="241"/>
      <c r="Y549" s="241"/>
      <c r="Z549" s="241"/>
    </row>
    <row r="550" spans="3:26" ht="16.5">
      <c r="C550" s="101"/>
      <c r="D550" s="101"/>
      <c r="E550" s="101"/>
      <c r="F550" s="101"/>
      <c r="G550" s="101"/>
      <c r="H550" s="101"/>
      <c r="I550" s="101"/>
      <c r="J550" s="101"/>
      <c r="S550" s="101"/>
      <c r="T550" s="241"/>
      <c r="U550" s="241"/>
      <c r="V550" s="241"/>
      <c r="W550" s="241"/>
      <c r="X550" s="241"/>
      <c r="Y550" s="241"/>
      <c r="Z550" s="241"/>
    </row>
    <row r="551" spans="3:26" ht="16.5">
      <c r="C551" s="101"/>
      <c r="D551" s="101"/>
      <c r="E551" s="101"/>
      <c r="F551" s="101"/>
      <c r="G551" s="101"/>
      <c r="H551" s="101"/>
      <c r="I551" s="101"/>
      <c r="J551" s="101"/>
      <c r="S551" s="101"/>
      <c r="T551" s="241"/>
      <c r="U551" s="241"/>
      <c r="V551" s="241"/>
      <c r="W551" s="241"/>
      <c r="X551" s="241"/>
      <c r="Y551" s="241"/>
      <c r="Z551" s="241"/>
    </row>
    <row r="552" spans="3:26" ht="16.5">
      <c r="C552" s="101"/>
      <c r="D552" s="101"/>
      <c r="E552" s="101"/>
      <c r="F552" s="101"/>
      <c r="G552" s="101"/>
      <c r="H552" s="101"/>
      <c r="I552" s="101"/>
      <c r="J552" s="101"/>
      <c r="S552" s="101"/>
      <c r="T552" s="241"/>
      <c r="U552" s="241"/>
      <c r="V552" s="241"/>
      <c r="W552" s="241"/>
      <c r="X552" s="241"/>
      <c r="Y552" s="241"/>
      <c r="Z552" s="241"/>
    </row>
    <row r="553" spans="3:26" ht="16.5">
      <c r="C553" s="101"/>
      <c r="D553" s="101"/>
      <c r="E553" s="101"/>
      <c r="F553" s="101"/>
      <c r="G553" s="101"/>
      <c r="H553" s="101"/>
      <c r="I553" s="101"/>
      <c r="J553" s="101"/>
      <c r="S553" s="101"/>
      <c r="T553" s="241"/>
      <c r="U553" s="241"/>
      <c r="V553" s="241"/>
      <c r="W553" s="241"/>
      <c r="X553" s="241"/>
      <c r="Y553" s="241"/>
      <c r="Z553" s="241"/>
    </row>
    <row r="554" spans="3:26" ht="16.5">
      <c r="C554" s="101"/>
      <c r="D554" s="101"/>
      <c r="E554" s="101"/>
      <c r="F554" s="101"/>
      <c r="G554" s="101"/>
      <c r="H554" s="101"/>
      <c r="I554" s="101"/>
      <c r="J554" s="101"/>
      <c r="S554" s="101"/>
      <c r="T554" s="241"/>
      <c r="U554" s="241"/>
      <c r="V554" s="241"/>
      <c r="W554" s="241"/>
      <c r="X554" s="241"/>
      <c r="Y554" s="241"/>
      <c r="Z554" s="241"/>
    </row>
    <row r="555" spans="3:26" ht="16.5">
      <c r="C555" s="101"/>
      <c r="D555" s="101"/>
      <c r="E555" s="101"/>
      <c r="F555" s="101"/>
      <c r="G555" s="101"/>
      <c r="H555" s="101"/>
      <c r="I555" s="101"/>
      <c r="J555" s="101"/>
      <c r="S555" s="101"/>
      <c r="T555" s="241"/>
      <c r="U555" s="241"/>
      <c r="V555" s="241"/>
      <c r="W555" s="241"/>
      <c r="X555" s="241"/>
      <c r="Y555" s="241"/>
      <c r="Z555" s="241"/>
    </row>
    <row r="556" spans="3:26" ht="16.5">
      <c r="C556" s="101"/>
      <c r="D556" s="101"/>
      <c r="E556" s="101"/>
      <c r="F556" s="101"/>
      <c r="G556" s="101"/>
      <c r="H556" s="101"/>
      <c r="I556" s="101"/>
      <c r="J556" s="101"/>
      <c r="S556" s="101"/>
      <c r="T556" s="241"/>
      <c r="U556" s="241"/>
      <c r="V556" s="241"/>
      <c r="W556" s="241"/>
      <c r="X556" s="241"/>
      <c r="Y556" s="241"/>
      <c r="Z556" s="241"/>
    </row>
    <row r="557" spans="3:26" ht="16.5">
      <c r="C557" s="101"/>
      <c r="D557" s="101"/>
      <c r="E557" s="101"/>
      <c r="F557" s="101"/>
      <c r="G557" s="101"/>
      <c r="H557" s="101"/>
      <c r="I557" s="101"/>
      <c r="J557" s="101"/>
      <c r="S557" s="101"/>
      <c r="T557" s="241"/>
      <c r="U557" s="241"/>
      <c r="V557" s="241"/>
      <c r="W557" s="241"/>
      <c r="X557" s="241"/>
      <c r="Y557" s="241"/>
      <c r="Z557" s="241"/>
    </row>
    <row r="558" spans="3:26" ht="16.5">
      <c r="C558" s="101"/>
      <c r="D558" s="101"/>
      <c r="E558" s="101"/>
      <c r="F558" s="101"/>
      <c r="G558" s="101"/>
      <c r="H558" s="101"/>
      <c r="I558" s="101"/>
      <c r="J558" s="101"/>
      <c r="S558" s="101"/>
      <c r="T558" s="241"/>
      <c r="U558" s="241"/>
      <c r="V558" s="241"/>
      <c r="W558" s="241"/>
      <c r="X558" s="241"/>
      <c r="Y558" s="241"/>
      <c r="Z558" s="241"/>
    </row>
    <row r="559" spans="3:26" ht="16.5">
      <c r="C559" s="101"/>
      <c r="D559" s="101"/>
      <c r="E559" s="101"/>
      <c r="F559" s="101"/>
      <c r="G559" s="101"/>
      <c r="H559" s="101"/>
      <c r="I559" s="101"/>
      <c r="J559" s="101"/>
      <c r="S559" s="101"/>
      <c r="T559" s="241"/>
      <c r="U559" s="241"/>
      <c r="V559" s="241"/>
      <c r="W559" s="241"/>
      <c r="X559" s="241"/>
      <c r="Y559" s="241"/>
      <c r="Z559" s="241"/>
    </row>
    <row r="560" spans="3:26" ht="16.5">
      <c r="C560" s="101"/>
      <c r="D560" s="101"/>
      <c r="E560" s="101"/>
      <c r="F560" s="101"/>
      <c r="G560" s="101"/>
      <c r="H560" s="101"/>
      <c r="I560" s="101"/>
      <c r="J560" s="101"/>
      <c r="S560" s="101"/>
      <c r="T560" s="241"/>
      <c r="U560" s="241"/>
      <c r="V560" s="241"/>
      <c r="W560" s="241"/>
      <c r="X560" s="241"/>
      <c r="Y560" s="241"/>
      <c r="Z560" s="241"/>
    </row>
    <row r="561" spans="3:26" ht="16.5">
      <c r="C561" s="101"/>
      <c r="D561" s="101"/>
      <c r="E561" s="101"/>
      <c r="F561" s="101"/>
      <c r="G561" s="101"/>
      <c r="H561" s="101"/>
      <c r="I561" s="101"/>
      <c r="J561" s="101"/>
      <c r="S561" s="101"/>
      <c r="T561" s="241"/>
      <c r="U561" s="241"/>
      <c r="V561" s="241"/>
      <c r="W561" s="241"/>
      <c r="X561" s="241"/>
      <c r="Y561" s="241"/>
      <c r="Z561" s="241"/>
    </row>
    <row r="562" spans="3:26" ht="16.5">
      <c r="C562" s="101"/>
      <c r="D562" s="101"/>
      <c r="E562" s="101"/>
      <c r="F562" s="101"/>
      <c r="G562" s="101"/>
      <c r="H562" s="101"/>
      <c r="I562" s="101"/>
      <c r="J562" s="101"/>
      <c r="S562" s="101"/>
      <c r="T562" s="241"/>
      <c r="U562" s="241"/>
      <c r="V562" s="241"/>
      <c r="W562" s="241"/>
      <c r="X562" s="241"/>
      <c r="Y562" s="241"/>
      <c r="Z562" s="241"/>
    </row>
    <row r="563" spans="3:26" ht="16.5">
      <c r="C563" s="101"/>
      <c r="D563" s="101"/>
      <c r="E563" s="101"/>
      <c r="F563" s="101"/>
      <c r="G563" s="101"/>
      <c r="H563" s="101"/>
      <c r="I563" s="101"/>
      <c r="J563" s="101"/>
      <c r="S563" s="101"/>
      <c r="T563" s="241"/>
      <c r="U563" s="241"/>
      <c r="V563" s="241"/>
      <c r="W563" s="241"/>
      <c r="X563" s="241"/>
      <c r="Y563" s="241"/>
      <c r="Z563" s="241"/>
    </row>
    <row r="564" spans="3:26" ht="16.5">
      <c r="C564" s="101"/>
      <c r="D564" s="101"/>
      <c r="E564" s="101"/>
      <c r="F564" s="101"/>
      <c r="G564" s="101"/>
      <c r="H564" s="101"/>
      <c r="I564" s="101"/>
      <c r="J564" s="101"/>
      <c r="S564" s="101"/>
      <c r="T564" s="241"/>
      <c r="U564" s="241"/>
      <c r="V564" s="241"/>
      <c r="W564" s="241"/>
      <c r="X564" s="241"/>
      <c r="Y564" s="241"/>
      <c r="Z564" s="241"/>
    </row>
    <row r="565" spans="3:26" ht="16.5">
      <c r="C565" s="101"/>
      <c r="D565" s="101"/>
      <c r="E565" s="101"/>
      <c r="F565" s="101"/>
      <c r="G565" s="101"/>
      <c r="H565" s="101"/>
      <c r="I565" s="101"/>
      <c r="J565" s="101"/>
      <c r="S565" s="101"/>
      <c r="T565" s="241"/>
      <c r="U565" s="241"/>
      <c r="V565" s="241"/>
      <c r="W565" s="241"/>
      <c r="X565" s="241"/>
      <c r="Y565" s="241"/>
      <c r="Z565" s="241"/>
    </row>
    <row r="566" spans="3:26" ht="16.5">
      <c r="C566" s="101"/>
      <c r="D566" s="101"/>
      <c r="E566" s="101"/>
      <c r="F566" s="101"/>
      <c r="G566" s="101"/>
      <c r="H566" s="101"/>
      <c r="I566" s="101"/>
      <c r="J566" s="101"/>
      <c r="S566" s="101"/>
      <c r="T566" s="241"/>
      <c r="U566" s="241"/>
      <c r="V566" s="241"/>
      <c r="W566" s="241"/>
      <c r="X566" s="241"/>
      <c r="Y566" s="241"/>
      <c r="Z566" s="241"/>
    </row>
    <row r="567" spans="3:26" ht="16.5">
      <c r="C567" s="101"/>
      <c r="D567" s="101"/>
      <c r="E567" s="101"/>
      <c r="F567" s="101"/>
      <c r="G567" s="101"/>
      <c r="H567" s="101"/>
      <c r="I567" s="101"/>
      <c r="J567" s="101"/>
      <c r="S567" s="101"/>
      <c r="T567" s="241"/>
      <c r="U567" s="241"/>
      <c r="V567" s="241"/>
      <c r="W567" s="241"/>
      <c r="X567" s="241"/>
      <c r="Y567" s="241"/>
      <c r="Z567" s="241"/>
    </row>
    <row r="568" spans="3:26" ht="16.5">
      <c r="C568" s="101"/>
      <c r="D568" s="101"/>
      <c r="E568" s="101"/>
      <c r="F568" s="101"/>
      <c r="G568" s="101"/>
      <c r="H568" s="101"/>
      <c r="I568" s="101"/>
      <c r="J568" s="101"/>
      <c r="S568" s="101"/>
      <c r="T568" s="241"/>
      <c r="U568" s="241"/>
      <c r="V568" s="241"/>
      <c r="W568" s="241"/>
      <c r="X568" s="241"/>
      <c r="Y568" s="241"/>
      <c r="Z568" s="241"/>
    </row>
    <row r="569" spans="3:26" ht="16.5">
      <c r="C569" s="101"/>
      <c r="D569" s="101"/>
      <c r="E569" s="101"/>
      <c r="F569" s="101"/>
      <c r="G569" s="101"/>
      <c r="H569" s="101"/>
      <c r="I569" s="101"/>
      <c r="J569" s="101"/>
      <c r="S569" s="101"/>
      <c r="T569" s="241"/>
      <c r="U569" s="241"/>
      <c r="V569" s="241"/>
      <c r="W569" s="241"/>
      <c r="X569" s="241"/>
      <c r="Y569" s="241"/>
      <c r="Z569" s="241"/>
    </row>
    <row r="570" spans="3:26" ht="16.5">
      <c r="C570" s="101"/>
      <c r="D570" s="101"/>
      <c r="E570" s="101"/>
      <c r="F570" s="101"/>
      <c r="G570" s="101"/>
      <c r="H570" s="101"/>
      <c r="I570" s="101"/>
      <c r="J570" s="101"/>
      <c r="S570" s="101"/>
      <c r="T570" s="241"/>
      <c r="U570" s="241"/>
      <c r="V570" s="241"/>
      <c r="W570" s="241"/>
      <c r="X570" s="241"/>
      <c r="Y570" s="241"/>
      <c r="Z570" s="241"/>
    </row>
    <row r="571" spans="3:26" ht="16.5">
      <c r="C571" s="101"/>
      <c r="D571" s="101"/>
      <c r="E571" s="101"/>
      <c r="F571" s="101"/>
      <c r="G571" s="101"/>
      <c r="H571" s="101"/>
      <c r="I571" s="101"/>
      <c r="J571" s="101"/>
      <c r="S571" s="101"/>
      <c r="T571" s="241"/>
      <c r="U571" s="241"/>
      <c r="V571" s="241"/>
      <c r="W571" s="241"/>
      <c r="X571" s="241"/>
      <c r="Y571" s="241"/>
      <c r="Z571" s="241"/>
    </row>
    <row r="572" spans="3:26" ht="16.5">
      <c r="C572" s="101"/>
      <c r="D572" s="101"/>
      <c r="E572" s="101"/>
      <c r="F572" s="101"/>
      <c r="G572" s="101"/>
      <c r="H572" s="101"/>
      <c r="I572" s="101"/>
      <c r="J572" s="101"/>
      <c r="S572" s="101"/>
      <c r="T572" s="241"/>
      <c r="U572" s="241"/>
      <c r="V572" s="241"/>
      <c r="W572" s="241"/>
      <c r="X572" s="241"/>
      <c r="Y572" s="241"/>
      <c r="Z572" s="241"/>
    </row>
    <row r="573" spans="3:26" ht="16.5">
      <c r="C573" s="101"/>
      <c r="D573" s="101"/>
      <c r="E573" s="101"/>
      <c r="F573" s="101"/>
      <c r="G573" s="101"/>
      <c r="H573" s="101"/>
      <c r="I573" s="101"/>
      <c r="J573" s="101"/>
      <c r="S573" s="101"/>
      <c r="T573" s="241"/>
      <c r="U573" s="241"/>
      <c r="V573" s="241"/>
      <c r="W573" s="241"/>
      <c r="X573" s="241"/>
      <c r="Y573" s="241"/>
      <c r="Z573" s="241"/>
    </row>
    <row r="574" spans="3:26" ht="16.5">
      <c r="C574" s="101"/>
      <c r="D574" s="101"/>
      <c r="E574" s="101"/>
      <c r="F574" s="101"/>
      <c r="G574" s="101"/>
      <c r="H574" s="101"/>
      <c r="I574" s="101"/>
      <c r="J574" s="101"/>
      <c r="S574" s="101"/>
      <c r="T574" s="241"/>
      <c r="U574" s="241"/>
      <c r="V574" s="241"/>
      <c r="W574" s="241"/>
      <c r="X574" s="241"/>
      <c r="Y574" s="241"/>
      <c r="Z574" s="241"/>
    </row>
    <row r="575" spans="3:26" ht="16.5">
      <c r="C575" s="101"/>
      <c r="D575" s="101"/>
      <c r="E575" s="101"/>
      <c r="F575" s="101"/>
      <c r="G575" s="101"/>
      <c r="H575" s="101"/>
      <c r="I575" s="101"/>
      <c r="J575" s="101"/>
      <c r="S575" s="101"/>
      <c r="T575" s="241"/>
      <c r="U575" s="241"/>
      <c r="V575" s="241"/>
      <c r="W575" s="241"/>
      <c r="X575" s="241"/>
      <c r="Y575" s="241"/>
      <c r="Z575" s="241"/>
    </row>
    <row r="576" spans="3:26" ht="16.5">
      <c r="C576" s="101"/>
      <c r="D576" s="101"/>
      <c r="E576" s="101"/>
      <c r="F576" s="101"/>
      <c r="G576" s="101"/>
      <c r="H576" s="101"/>
      <c r="I576" s="101"/>
      <c r="J576" s="101"/>
      <c r="S576" s="101"/>
      <c r="T576" s="241"/>
      <c r="U576" s="241"/>
      <c r="V576" s="241"/>
      <c r="W576" s="241"/>
      <c r="X576" s="241"/>
      <c r="Y576" s="241"/>
      <c r="Z576" s="241"/>
    </row>
    <row r="577" spans="3:26" ht="16.5">
      <c r="C577" s="101"/>
      <c r="D577" s="101"/>
      <c r="E577" s="101"/>
      <c r="F577" s="101"/>
      <c r="G577" s="101"/>
      <c r="H577" s="101"/>
      <c r="I577" s="101"/>
      <c r="J577" s="101"/>
      <c r="S577" s="101"/>
      <c r="T577" s="241"/>
      <c r="U577" s="241"/>
      <c r="V577" s="241"/>
      <c r="W577" s="241"/>
      <c r="X577" s="241"/>
      <c r="Y577" s="241"/>
      <c r="Z577" s="241"/>
    </row>
    <row r="578" spans="3:26" ht="16.5">
      <c r="C578" s="101"/>
      <c r="D578" s="101"/>
      <c r="E578" s="101"/>
      <c r="F578" s="101"/>
      <c r="G578" s="101"/>
      <c r="H578" s="101"/>
      <c r="I578" s="101"/>
      <c r="J578" s="101"/>
      <c r="S578" s="101"/>
      <c r="T578" s="241"/>
      <c r="U578" s="241"/>
      <c r="V578" s="241"/>
      <c r="W578" s="241"/>
      <c r="X578" s="241"/>
      <c r="Y578" s="241"/>
      <c r="Z578" s="241"/>
    </row>
    <row r="579" spans="3:26" ht="16.5">
      <c r="C579" s="101"/>
      <c r="D579" s="101"/>
      <c r="E579" s="101"/>
      <c r="F579" s="101"/>
      <c r="G579" s="101"/>
      <c r="H579" s="101"/>
      <c r="I579" s="101"/>
      <c r="J579" s="101"/>
      <c r="S579" s="101"/>
      <c r="T579" s="241"/>
      <c r="U579" s="241"/>
      <c r="V579" s="241"/>
      <c r="W579" s="241"/>
      <c r="X579" s="241"/>
      <c r="Y579" s="241"/>
      <c r="Z579" s="241"/>
    </row>
    <row r="580" spans="3:26" ht="16.5">
      <c r="C580" s="101"/>
      <c r="D580" s="101"/>
      <c r="E580" s="101"/>
      <c r="F580" s="101"/>
      <c r="G580" s="101"/>
      <c r="H580" s="101"/>
      <c r="I580" s="101"/>
      <c r="J580" s="101"/>
      <c r="S580" s="101"/>
      <c r="T580" s="241"/>
      <c r="U580" s="241"/>
      <c r="V580" s="241"/>
      <c r="W580" s="241"/>
      <c r="X580" s="241"/>
      <c r="Y580" s="241"/>
      <c r="Z580" s="241"/>
    </row>
    <row r="581" spans="3:26" ht="16.5">
      <c r="C581" s="101"/>
      <c r="D581" s="101"/>
      <c r="E581" s="101"/>
      <c r="F581" s="101"/>
      <c r="G581" s="101"/>
      <c r="H581" s="101"/>
      <c r="I581" s="101"/>
      <c r="J581" s="101"/>
      <c r="S581" s="101"/>
      <c r="T581" s="241"/>
      <c r="U581" s="241"/>
      <c r="V581" s="241"/>
      <c r="W581" s="241"/>
      <c r="X581" s="241"/>
      <c r="Y581" s="241"/>
      <c r="Z581" s="241"/>
    </row>
    <row r="582" spans="3:26" ht="16.5">
      <c r="C582" s="101"/>
      <c r="D582" s="101"/>
      <c r="E582" s="101"/>
      <c r="F582" s="101"/>
      <c r="G582" s="101"/>
      <c r="H582" s="101"/>
      <c r="I582" s="101"/>
      <c r="J582" s="101"/>
      <c r="S582" s="101"/>
      <c r="T582" s="241"/>
      <c r="U582" s="241"/>
      <c r="V582" s="241"/>
      <c r="W582" s="241"/>
      <c r="X582" s="241"/>
      <c r="Y582" s="241"/>
      <c r="Z582" s="241"/>
    </row>
    <row r="583" spans="3:26" ht="16.5">
      <c r="C583" s="101"/>
      <c r="D583" s="101"/>
      <c r="E583" s="101"/>
      <c r="F583" s="101"/>
      <c r="G583" s="101"/>
      <c r="H583" s="101"/>
      <c r="I583" s="101"/>
      <c r="J583" s="101"/>
      <c r="S583" s="101"/>
      <c r="T583" s="241"/>
      <c r="U583" s="241"/>
      <c r="V583" s="241"/>
      <c r="W583" s="241"/>
      <c r="X583" s="241"/>
      <c r="Y583" s="241"/>
      <c r="Z583" s="241"/>
    </row>
    <row r="584" spans="3:26" ht="16.5">
      <c r="C584" s="101"/>
      <c r="D584" s="101"/>
      <c r="E584" s="101"/>
      <c r="F584" s="101"/>
      <c r="G584" s="101"/>
      <c r="H584" s="101"/>
      <c r="I584" s="101"/>
      <c r="J584" s="101"/>
      <c r="S584" s="101"/>
      <c r="T584" s="241"/>
      <c r="U584" s="241"/>
      <c r="V584" s="241"/>
      <c r="W584" s="241"/>
      <c r="X584" s="241"/>
      <c r="Y584" s="241"/>
      <c r="Z584" s="241"/>
    </row>
    <row r="585" spans="3:26" ht="16.5">
      <c r="C585" s="101"/>
      <c r="D585" s="101"/>
      <c r="E585" s="101"/>
      <c r="F585" s="101"/>
      <c r="G585" s="101"/>
      <c r="H585" s="101"/>
      <c r="I585" s="101"/>
      <c r="J585" s="101"/>
      <c r="S585" s="101"/>
      <c r="T585" s="241"/>
      <c r="U585" s="241"/>
      <c r="V585" s="241"/>
      <c r="W585" s="241"/>
      <c r="X585" s="241"/>
      <c r="Y585" s="241"/>
      <c r="Z585" s="241"/>
    </row>
    <row r="586" spans="3:26" ht="16.5">
      <c r="C586" s="101"/>
      <c r="D586" s="101"/>
      <c r="E586" s="101"/>
      <c r="F586" s="101"/>
      <c r="G586" s="101"/>
      <c r="H586" s="101"/>
      <c r="I586" s="101"/>
      <c r="J586" s="101"/>
      <c r="S586" s="101"/>
      <c r="T586" s="241"/>
      <c r="U586" s="241"/>
      <c r="V586" s="241"/>
      <c r="W586" s="241"/>
      <c r="X586" s="241"/>
      <c r="Y586" s="241"/>
      <c r="Z586" s="241"/>
    </row>
    <row r="587" spans="3:26" ht="16.5">
      <c r="C587" s="101"/>
      <c r="D587" s="101"/>
      <c r="E587" s="101"/>
      <c r="F587" s="101"/>
      <c r="G587" s="101"/>
      <c r="H587" s="101"/>
      <c r="I587" s="101"/>
      <c r="J587" s="101"/>
      <c r="S587" s="101"/>
      <c r="T587" s="241"/>
      <c r="U587" s="241"/>
      <c r="V587" s="241"/>
      <c r="W587" s="241"/>
      <c r="X587" s="241"/>
      <c r="Y587" s="241"/>
      <c r="Z587" s="241"/>
    </row>
    <row r="588" spans="3:26" ht="16.5">
      <c r="C588" s="101"/>
      <c r="D588" s="101"/>
      <c r="E588" s="101"/>
      <c r="F588" s="101"/>
      <c r="G588" s="101"/>
      <c r="H588" s="101"/>
      <c r="I588" s="101"/>
      <c r="J588" s="101"/>
      <c r="S588" s="101"/>
      <c r="T588" s="241"/>
      <c r="U588" s="241"/>
      <c r="V588" s="241"/>
      <c r="W588" s="241"/>
      <c r="X588" s="241"/>
      <c r="Y588" s="241"/>
      <c r="Z588" s="241"/>
    </row>
    <row r="589" spans="3:26" ht="16.5">
      <c r="C589" s="101"/>
      <c r="D589" s="101"/>
      <c r="E589" s="101"/>
      <c r="F589" s="101"/>
      <c r="G589" s="101"/>
      <c r="H589" s="101"/>
      <c r="I589" s="101"/>
      <c r="J589" s="101"/>
      <c r="S589" s="101"/>
      <c r="T589" s="241"/>
      <c r="U589" s="241"/>
      <c r="V589" s="241"/>
      <c r="W589" s="241"/>
      <c r="X589" s="241"/>
      <c r="Y589" s="241"/>
      <c r="Z589" s="241"/>
    </row>
    <row r="590" spans="3:26" ht="16.5">
      <c r="C590" s="101"/>
      <c r="D590" s="101"/>
      <c r="E590" s="101"/>
      <c r="F590" s="101"/>
      <c r="G590" s="101"/>
      <c r="H590" s="101"/>
      <c r="I590" s="101"/>
      <c r="J590" s="101"/>
      <c r="S590" s="101"/>
      <c r="T590" s="241"/>
      <c r="U590" s="241"/>
      <c r="V590" s="241"/>
      <c r="W590" s="241"/>
      <c r="X590" s="241"/>
      <c r="Y590" s="241"/>
      <c r="Z590" s="241"/>
    </row>
    <row r="591" spans="3:26" ht="16.5">
      <c r="C591" s="101"/>
      <c r="D591" s="101"/>
      <c r="E591" s="101"/>
      <c r="F591" s="101"/>
      <c r="G591" s="101"/>
      <c r="H591" s="101"/>
      <c r="I591" s="101"/>
      <c r="J591" s="101"/>
      <c r="S591" s="101"/>
      <c r="T591" s="241"/>
      <c r="U591" s="241"/>
      <c r="V591" s="241"/>
      <c r="W591" s="241"/>
      <c r="X591" s="241"/>
      <c r="Y591" s="241"/>
      <c r="Z591" s="241"/>
    </row>
    <row r="592" spans="3:26" ht="16.5">
      <c r="C592" s="101"/>
      <c r="D592" s="101"/>
      <c r="E592" s="101"/>
      <c r="F592" s="101"/>
      <c r="G592" s="101"/>
      <c r="H592" s="101"/>
      <c r="I592" s="101"/>
      <c r="J592" s="101"/>
      <c r="S592" s="101"/>
      <c r="T592" s="241"/>
      <c r="U592" s="241"/>
      <c r="V592" s="241"/>
      <c r="W592" s="241"/>
      <c r="X592" s="241"/>
      <c r="Y592" s="241"/>
      <c r="Z592" s="241"/>
    </row>
    <row r="593" spans="3:26" ht="16.5">
      <c r="C593" s="101"/>
      <c r="D593" s="101"/>
      <c r="E593" s="101"/>
      <c r="F593" s="101"/>
      <c r="G593" s="101"/>
      <c r="H593" s="101"/>
      <c r="I593" s="101"/>
      <c r="J593" s="101"/>
      <c r="S593" s="101"/>
      <c r="T593" s="241"/>
      <c r="U593" s="241"/>
      <c r="V593" s="241"/>
      <c r="W593" s="241"/>
      <c r="X593" s="241"/>
      <c r="Y593" s="241"/>
      <c r="Z593" s="241"/>
    </row>
    <row r="594" spans="3:26" ht="16.5">
      <c r="C594" s="101"/>
      <c r="D594" s="101"/>
      <c r="E594" s="101"/>
      <c r="F594" s="101"/>
      <c r="G594" s="101"/>
      <c r="H594" s="101"/>
      <c r="I594" s="101"/>
      <c r="J594" s="101"/>
      <c r="S594" s="101"/>
      <c r="T594" s="241"/>
      <c r="U594" s="241"/>
      <c r="V594" s="241"/>
      <c r="W594" s="241"/>
      <c r="X594" s="241"/>
      <c r="Y594" s="241"/>
      <c r="Z594" s="241"/>
    </row>
    <row r="595" spans="3:26" ht="16.5">
      <c r="C595" s="101"/>
      <c r="D595" s="101"/>
      <c r="E595" s="101"/>
      <c r="F595" s="101"/>
      <c r="G595" s="101"/>
      <c r="H595" s="101"/>
      <c r="I595" s="101"/>
      <c r="J595" s="101"/>
      <c r="S595" s="101"/>
      <c r="T595" s="241"/>
      <c r="U595" s="241"/>
      <c r="V595" s="241"/>
      <c r="W595" s="241"/>
      <c r="X595" s="241"/>
      <c r="Y595" s="241"/>
      <c r="Z595" s="241"/>
    </row>
    <row r="596" spans="3:26" ht="16.5">
      <c r="C596" s="101"/>
      <c r="D596" s="101"/>
      <c r="E596" s="101"/>
      <c r="F596" s="101"/>
      <c r="G596" s="101"/>
      <c r="H596" s="101"/>
      <c r="I596" s="101"/>
      <c r="J596" s="101"/>
      <c r="S596" s="101"/>
      <c r="T596" s="241"/>
      <c r="U596" s="241"/>
      <c r="V596" s="241"/>
      <c r="W596" s="241"/>
      <c r="X596" s="241"/>
      <c r="Y596" s="241"/>
      <c r="Z596" s="241"/>
    </row>
    <row r="597" spans="3:26" ht="16.5">
      <c r="C597" s="101"/>
      <c r="D597" s="101"/>
      <c r="E597" s="101"/>
      <c r="F597" s="101"/>
      <c r="G597" s="101"/>
      <c r="H597" s="101"/>
      <c r="I597" s="101"/>
      <c r="J597" s="101"/>
      <c r="S597" s="101"/>
      <c r="T597" s="241"/>
      <c r="U597" s="241"/>
      <c r="V597" s="241"/>
      <c r="W597" s="241"/>
      <c r="X597" s="241"/>
      <c r="Y597" s="241"/>
      <c r="Z597" s="241"/>
    </row>
    <row r="598" spans="3:26" ht="16.5">
      <c r="C598" s="101"/>
      <c r="D598" s="101"/>
      <c r="E598" s="101"/>
      <c r="F598" s="101"/>
      <c r="G598" s="101"/>
      <c r="H598" s="101"/>
      <c r="I598" s="101"/>
      <c r="J598" s="101"/>
      <c r="S598" s="101"/>
      <c r="T598" s="241"/>
      <c r="U598" s="241"/>
      <c r="V598" s="241"/>
      <c r="W598" s="241"/>
      <c r="X598" s="241"/>
      <c r="Y598" s="241"/>
      <c r="Z598" s="241"/>
    </row>
    <row r="599" spans="3:26" ht="16.5">
      <c r="C599" s="101"/>
      <c r="D599" s="101"/>
      <c r="E599" s="101"/>
      <c r="F599" s="101"/>
      <c r="G599" s="101"/>
      <c r="H599" s="101"/>
      <c r="I599" s="101"/>
      <c r="J599" s="101"/>
      <c r="S599" s="101"/>
      <c r="T599" s="241"/>
      <c r="U599" s="241"/>
      <c r="V599" s="241"/>
      <c r="W599" s="241"/>
      <c r="X599" s="241"/>
      <c r="Y599" s="241"/>
      <c r="Z599" s="241"/>
    </row>
    <row r="600" spans="3:26" ht="16.5">
      <c r="C600" s="101"/>
      <c r="D600" s="101"/>
      <c r="E600" s="101"/>
      <c r="F600" s="101"/>
      <c r="G600" s="101"/>
      <c r="H600" s="101"/>
      <c r="I600" s="101"/>
      <c r="J600" s="101"/>
      <c r="S600" s="101"/>
      <c r="T600" s="241"/>
      <c r="U600" s="241"/>
      <c r="V600" s="241"/>
      <c r="W600" s="241"/>
      <c r="X600" s="241"/>
      <c r="Y600" s="241"/>
      <c r="Z600" s="241"/>
    </row>
    <row r="601" spans="3:26" ht="16.5">
      <c r="C601" s="101"/>
      <c r="D601" s="101"/>
      <c r="E601" s="101"/>
      <c r="F601" s="101"/>
      <c r="G601" s="101"/>
      <c r="H601" s="101"/>
      <c r="I601" s="101"/>
      <c r="J601" s="101"/>
      <c r="S601" s="101"/>
      <c r="T601" s="241"/>
      <c r="U601" s="241"/>
      <c r="V601" s="241"/>
      <c r="W601" s="241"/>
      <c r="X601" s="241"/>
      <c r="Y601" s="241"/>
      <c r="Z601" s="241"/>
    </row>
    <row r="602" spans="3:26" ht="16.5">
      <c r="C602" s="101"/>
      <c r="D602" s="101"/>
      <c r="E602" s="101"/>
      <c r="F602" s="101"/>
      <c r="G602" s="101"/>
      <c r="H602" s="101"/>
      <c r="I602" s="101"/>
      <c r="J602" s="101"/>
      <c r="S602" s="101"/>
      <c r="T602" s="241"/>
      <c r="U602" s="241"/>
      <c r="V602" s="241"/>
      <c r="W602" s="241"/>
      <c r="X602" s="241"/>
      <c r="Y602" s="241"/>
      <c r="Z602" s="241"/>
    </row>
    <row r="603" spans="3:26" ht="16.5">
      <c r="C603" s="101"/>
      <c r="D603" s="101"/>
      <c r="E603" s="101"/>
      <c r="F603" s="101"/>
      <c r="G603" s="101"/>
      <c r="H603" s="101"/>
      <c r="I603" s="101"/>
      <c r="J603" s="101"/>
      <c r="S603" s="101"/>
      <c r="T603" s="241"/>
      <c r="U603" s="241"/>
      <c r="V603" s="241"/>
      <c r="W603" s="241"/>
      <c r="X603" s="241"/>
      <c r="Y603" s="241"/>
      <c r="Z603" s="241"/>
    </row>
    <row r="604" spans="3:26" ht="16.5">
      <c r="C604" s="101"/>
      <c r="D604" s="101"/>
      <c r="E604" s="101"/>
      <c r="F604" s="101"/>
      <c r="G604" s="101"/>
      <c r="H604" s="101"/>
      <c r="I604" s="101"/>
      <c r="J604" s="101"/>
      <c r="S604" s="101"/>
      <c r="T604" s="241"/>
      <c r="U604" s="241"/>
      <c r="V604" s="241"/>
      <c r="W604" s="241"/>
      <c r="X604" s="241"/>
      <c r="Y604" s="241"/>
      <c r="Z604" s="241"/>
    </row>
    <row r="605" spans="3:26" ht="16.5">
      <c r="C605" s="101"/>
      <c r="D605" s="101"/>
      <c r="E605" s="101"/>
      <c r="F605" s="101"/>
      <c r="G605" s="101"/>
      <c r="H605" s="101"/>
      <c r="I605" s="101"/>
      <c r="J605" s="101"/>
      <c r="S605" s="101"/>
      <c r="T605" s="241"/>
      <c r="U605" s="241"/>
      <c r="V605" s="241"/>
      <c r="W605" s="241"/>
      <c r="X605" s="241"/>
      <c r="Y605" s="241"/>
      <c r="Z605" s="241"/>
    </row>
    <row r="606" spans="3:26" ht="16.5">
      <c r="C606" s="101"/>
      <c r="D606" s="101"/>
      <c r="E606" s="101"/>
      <c r="F606" s="101"/>
      <c r="G606" s="101"/>
      <c r="H606" s="101"/>
      <c r="I606" s="101"/>
      <c r="J606" s="101"/>
      <c r="S606" s="101"/>
      <c r="T606" s="241"/>
      <c r="U606" s="241"/>
      <c r="V606" s="241"/>
      <c r="W606" s="241"/>
      <c r="X606" s="241"/>
      <c r="Y606" s="241"/>
      <c r="Z606" s="241"/>
    </row>
    <row r="607" spans="3:26" ht="16.5">
      <c r="C607" s="101"/>
      <c r="D607" s="101"/>
      <c r="E607" s="101"/>
      <c r="F607" s="101"/>
      <c r="G607" s="101"/>
      <c r="H607" s="101"/>
      <c r="I607" s="101"/>
      <c r="J607" s="101"/>
      <c r="S607" s="101"/>
      <c r="T607" s="241"/>
      <c r="U607" s="241"/>
      <c r="V607" s="241"/>
      <c r="W607" s="241"/>
      <c r="X607" s="241"/>
      <c r="Y607" s="241"/>
      <c r="Z607" s="241"/>
    </row>
    <row r="608" spans="3:26" ht="16.5">
      <c r="C608" s="101"/>
      <c r="D608" s="101"/>
      <c r="E608" s="101"/>
      <c r="F608" s="101"/>
      <c r="G608" s="101"/>
      <c r="H608" s="101"/>
      <c r="I608" s="101"/>
      <c r="J608" s="101"/>
      <c r="S608" s="101"/>
      <c r="T608" s="241"/>
      <c r="U608" s="241"/>
      <c r="V608" s="241"/>
      <c r="W608" s="241"/>
      <c r="X608" s="241"/>
      <c r="Y608" s="241"/>
      <c r="Z608" s="241"/>
    </row>
    <row r="609" spans="3:26" ht="16.5">
      <c r="C609" s="101"/>
      <c r="D609" s="101"/>
      <c r="E609" s="101"/>
      <c r="F609" s="101"/>
      <c r="G609" s="101"/>
      <c r="H609" s="101"/>
      <c r="I609" s="101"/>
      <c r="J609" s="101"/>
      <c r="S609" s="101"/>
      <c r="T609" s="241"/>
      <c r="U609" s="241"/>
      <c r="V609" s="241"/>
      <c r="W609" s="241"/>
      <c r="X609" s="241"/>
      <c r="Y609" s="241"/>
      <c r="Z609" s="241"/>
    </row>
    <row r="610" spans="3:26" ht="16.5">
      <c r="C610" s="101"/>
      <c r="D610" s="101"/>
      <c r="E610" s="101"/>
      <c r="F610" s="101"/>
      <c r="G610" s="101"/>
      <c r="H610" s="101"/>
      <c r="I610" s="101"/>
      <c r="J610" s="101"/>
      <c r="S610" s="101"/>
      <c r="T610" s="241"/>
      <c r="U610" s="241"/>
      <c r="V610" s="241"/>
      <c r="W610" s="241"/>
      <c r="X610" s="241"/>
      <c r="Y610" s="241"/>
      <c r="Z610" s="241"/>
    </row>
    <row r="611" spans="3:26" ht="16.5">
      <c r="C611" s="101"/>
      <c r="D611" s="101"/>
      <c r="E611" s="101"/>
      <c r="F611" s="101"/>
      <c r="G611" s="101"/>
      <c r="H611" s="101"/>
      <c r="I611" s="101"/>
      <c r="J611" s="101"/>
      <c r="S611" s="101"/>
      <c r="T611" s="241"/>
      <c r="U611" s="241"/>
      <c r="V611" s="241"/>
      <c r="W611" s="241"/>
      <c r="X611" s="241"/>
      <c r="Y611" s="241"/>
      <c r="Z611" s="241"/>
    </row>
    <row r="612" spans="3:26" ht="16.5">
      <c r="C612" s="101"/>
      <c r="D612" s="101"/>
      <c r="E612" s="101"/>
      <c r="F612" s="101"/>
      <c r="G612" s="101"/>
      <c r="H612" s="101"/>
      <c r="I612" s="101"/>
      <c r="J612" s="101"/>
      <c r="S612" s="101"/>
      <c r="T612" s="241"/>
      <c r="U612" s="241"/>
      <c r="V612" s="241"/>
      <c r="W612" s="241"/>
      <c r="X612" s="241"/>
      <c r="Y612" s="241"/>
      <c r="Z612" s="241"/>
    </row>
    <row r="613" spans="3:26" ht="16.5">
      <c r="C613" s="101"/>
      <c r="D613" s="101"/>
      <c r="E613" s="101"/>
      <c r="F613" s="101"/>
      <c r="G613" s="101"/>
      <c r="H613" s="101"/>
      <c r="I613" s="101"/>
      <c r="J613" s="101"/>
      <c r="S613" s="101"/>
      <c r="T613" s="241"/>
      <c r="U613" s="241"/>
      <c r="V613" s="241"/>
      <c r="W613" s="241"/>
      <c r="X613" s="241"/>
      <c r="Y613" s="241"/>
      <c r="Z613" s="241"/>
    </row>
    <row r="614" spans="3:26" ht="16.5">
      <c r="C614" s="101"/>
      <c r="D614" s="101"/>
      <c r="E614" s="101"/>
      <c r="F614" s="101"/>
      <c r="G614" s="101"/>
      <c r="H614" s="101"/>
      <c r="I614" s="101"/>
      <c r="J614" s="101"/>
      <c r="S614" s="101"/>
      <c r="T614" s="241"/>
      <c r="U614" s="241"/>
      <c r="V614" s="241"/>
      <c r="W614" s="241"/>
      <c r="X614" s="241"/>
      <c r="Y614" s="241"/>
      <c r="Z614" s="241"/>
    </row>
    <row r="615" spans="3:26" ht="16.5">
      <c r="C615" s="101"/>
      <c r="D615" s="101"/>
      <c r="E615" s="101"/>
      <c r="F615" s="101"/>
      <c r="G615" s="101"/>
      <c r="H615" s="101"/>
      <c r="I615" s="101"/>
      <c r="J615" s="101"/>
      <c r="S615" s="101"/>
      <c r="T615" s="241"/>
      <c r="U615" s="241"/>
      <c r="V615" s="241"/>
      <c r="W615" s="241"/>
      <c r="X615" s="241"/>
      <c r="Y615" s="241"/>
      <c r="Z615" s="241"/>
    </row>
    <row r="616" spans="3:26" ht="16.5">
      <c r="C616" s="101"/>
      <c r="D616" s="101"/>
      <c r="E616" s="101"/>
      <c r="F616" s="101"/>
      <c r="G616" s="101"/>
      <c r="H616" s="101"/>
      <c r="I616" s="101"/>
      <c r="J616" s="101"/>
      <c r="S616" s="101"/>
      <c r="T616" s="241"/>
      <c r="U616" s="241"/>
      <c r="V616" s="241"/>
      <c r="W616" s="241"/>
      <c r="X616" s="241"/>
      <c r="Y616" s="241"/>
      <c r="Z616" s="241"/>
    </row>
    <row r="617" spans="3:26" ht="16.5">
      <c r="C617" s="101"/>
      <c r="D617" s="101"/>
      <c r="E617" s="101"/>
      <c r="F617" s="101"/>
      <c r="G617" s="101"/>
      <c r="H617" s="101"/>
      <c r="I617" s="101"/>
      <c r="J617" s="101"/>
      <c r="S617" s="101"/>
      <c r="T617" s="241"/>
      <c r="U617" s="241"/>
      <c r="V617" s="241"/>
      <c r="W617" s="241"/>
      <c r="X617" s="241"/>
      <c r="Y617" s="241"/>
      <c r="Z617" s="241"/>
    </row>
    <row r="618" spans="3:26" ht="16.5">
      <c r="C618" s="101"/>
      <c r="D618" s="101"/>
      <c r="E618" s="101"/>
      <c r="F618" s="101"/>
      <c r="G618" s="101"/>
      <c r="H618" s="101"/>
      <c r="I618" s="101"/>
      <c r="J618" s="101"/>
      <c r="S618" s="101"/>
      <c r="T618" s="241"/>
      <c r="U618" s="241"/>
      <c r="V618" s="241"/>
      <c r="W618" s="241"/>
      <c r="X618" s="241"/>
      <c r="Y618" s="241"/>
      <c r="Z618" s="241"/>
    </row>
    <row r="619" spans="3:26" ht="16.5">
      <c r="C619" s="101"/>
      <c r="D619" s="101"/>
      <c r="E619" s="101"/>
      <c r="F619" s="101"/>
      <c r="G619" s="101"/>
      <c r="H619" s="101"/>
      <c r="I619" s="101"/>
      <c r="J619" s="101"/>
      <c r="S619" s="101"/>
      <c r="T619" s="241"/>
      <c r="U619" s="241"/>
      <c r="V619" s="241"/>
      <c r="W619" s="241"/>
      <c r="X619" s="241"/>
      <c r="Y619" s="241"/>
      <c r="Z619" s="241"/>
    </row>
    <row r="620" spans="3:26" ht="16.5">
      <c r="C620" s="101"/>
      <c r="D620" s="101"/>
      <c r="E620" s="101"/>
      <c r="F620" s="101"/>
      <c r="G620" s="101"/>
      <c r="H620" s="101"/>
      <c r="I620" s="101"/>
      <c r="J620" s="101"/>
      <c r="S620" s="101"/>
      <c r="T620" s="241"/>
      <c r="U620" s="241"/>
      <c r="V620" s="241"/>
      <c r="W620" s="241"/>
      <c r="X620" s="241"/>
      <c r="Y620" s="241"/>
      <c r="Z620" s="241"/>
    </row>
    <row r="621" spans="3:26" ht="16.5">
      <c r="C621" s="101"/>
      <c r="D621" s="101"/>
      <c r="E621" s="101"/>
      <c r="F621" s="101"/>
      <c r="G621" s="101"/>
      <c r="H621" s="101"/>
      <c r="I621" s="101"/>
      <c r="J621" s="101"/>
      <c r="S621" s="101"/>
      <c r="T621" s="241"/>
      <c r="U621" s="241"/>
      <c r="V621" s="241"/>
      <c r="W621" s="241"/>
      <c r="X621" s="241"/>
      <c r="Y621" s="241"/>
      <c r="Z621" s="241"/>
    </row>
    <row r="622" spans="3:26" ht="16.5">
      <c r="C622" s="101"/>
      <c r="D622" s="101"/>
      <c r="E622" s="101"/>
      <c r="F622" s="101"/>
      <c r="G622" s="101"/>
      <c r="H622" s="101"/>
      <c r="I622" s="101"/>
      <c r="J622" s="101"/>
      <c r="S622" s="101"/>
      <c r="T622" s="241"/>
      <c r="U622" s="241"/>
      <c r="V622" s="241"/>
      <c r="W622" s="241"/>
      <c r="X622" s="241"/>
      <c r="Y622" s="241"/>
      <c r="Z622" s="241"/>
    </row>
    <row r="623" spans="3:26" ht="16.5">
      <c r="C623" s="101"/>
      <c r="D623" s="101"/>
      <c r="E623" s="101"/>
      <c r="F623" s="101"/>
      <c r="G623" s="101"/>
      <c r="H623" s="101"/>
      <c r="I623" s="101"/>
      <c r="J623" s="101"/>
      <c r="S623" s="101"/>
      <c r="T623" s="241"/>
      <c r="U623" s="241"/>
      <c r="V623" s="241"/>
      <c r="W623" s="241"/>
      <c r="X623" s="241"/>
      <c r="Y623" s="241"/>
      <c r="Z623" s="241"/>
    </row>
    <row r="624" spans="3:26" ht="16.5">
      <c r="C624" s="101"/>
      <c r="D624" s="101"/>
      <c r="E624" s="101"/>
      <c r="F624" s="101"/>
      <c r="G624" s="101"/>
      <c r="H624" s="101"/>
      <c r="I624" s="101"/>
      <c r="J624" s="101"/>
      <c r="S624" s="101"/>
      <c r="T624" s="241"/>
      <c r="U624" s="241"/>
      <c r="V624" s="241"/>
      <c r="W624" s="241"/>
      <c r="X624" s="241"/>
      <c r="Y624" s="241"/>
      <c r="Z624" s="241"/>
    </row>
    <row r="625" spans="3:26" ht="16.5">
      <c r="C625" s="101"/>
      <c r="D625" s="101"/>
      <c r="E625" s="101"/>
      <c r="F625" s="101"/>
      <c r="G625" s="101"/>
      <c r="H625" s="101"/>
      <c r="I625" s="101"/>
      <c r="J625" s="101"/>
      <c r="S625" s="101"/>
      <c r="T625" s="241"/>
      <c r="U625" s="241"/>
      <c r="V625" s="241"/>
      <c r="W625" s="241"/>
      <c r="X625" s="241"/>
      <c r="Y625" s="241"/>
      <c r="Z625" s="241"/>
    </row>
    <row r="626" spans="3:26" ht="16.5">
      <c r="C626" s="101"/>
      <c r="D626" s="101"/>
      <c r="E626" s="101"/>
      <c r="F626" s="101"/>
      <c r="G626" s="101"/>
      <c r="H626" s="101"/>
      <c r="I626" s="101"/>
      <c r="J626" s="101"/>
      <c r="S626" s="101"/>
      <c r="T626" s="241"/>
      <c r="U626" s="241"/>
      <c r="V626" s="241"/>
      <c r="W626" s="241"/>
      <c r="X626" s="241"/>
      <c r="Y626" s="241"/>
      <c r="Z626" s="241"/>
    </row>
    <row r="627" spans="3:26" ht="16.5">
      <c r="C627" s="101"/>
      <c r="D627" s="101"/>
      <c r="E627" s="101"/>
      <c r="F627" s="101"/>
      <c r="G627" s="101"/>
      <c r="H627" s="101"/>
      <c r="I627" s="101"/>
      <c r="J627" s="101"/>
      <c r="S627" s="101"/>
      <c r="T627" s="241"/>
      <c r="U627" s="241"/>
      <c r="V627" s="241"/>
      <c r="W627" s="241"/>
      <c r="X627" s="241"/>
      <c r="Y627" s="241"/>
      <c r="Z627" s="241"/>
    </row>
    <row r="628" spans="3:26" ht="16.5">
      <c r="C628" s="101"/>
      <c r="D628" s="101"/>
      <c r="E628" s="101"/>
      <c r="F628" s="101"/>
      <c r="G628" s="101"/>
      <c r="H628" s="101"/>
      <c r="I628" s="101"/>
      <c r="J628" s="101"/>
      <c r="S628" s="101"/>
      <c r="T628" s="241"/>
      <c r="U628" s="241"/>
      <c r="V628" s="241"/>
      <c r="W628" s="241"/>
      <c r="X628" s="241"/>
      <c r="Y628" s="241"/>
      <c r="Z628" s="241"/>
    </row>
    <row r="629" spans="3:26" ht="16.5">
      <c r="C629" s="101"/>
      <c r="D629" s="101"/>
      <c r="E629" s="101"/>
      <c r="F629" s="101"/>
      <c r="G629" s="101"/>
      <c r="H629" s="101"/>
      <c r="I629" s="101"/>
      <c r="J629" s="101"/>
      <c r="S629" s="101"/>
      <c r="T629" s="241"/>
      <c r="U629" s="241"/>
      <c r="V629" s="241"/>
      <c r="W629" s="241"/>
      <c r="X629" s="241"/>
      <c r="Y629" s="241"/>
      <c r="Z629" s="241"/>
    </row>
    <row r="630" spans="3:26" ht="16.5">
      <c r="C630" s="101"/>
      <c r="D630" s="101"/>
      <c r="E630" s="101"/>
      <c r="F630" s="101"/>
      <c r="G630" s="101"/>
      <c r="H630" s="101"/>
      <c r="I630" s="101"/>
      <c r="J630" s="101"/>
      <c r="S630" s="101"/>
      <c r="T630" s="241"/>
      <c r="U630" s="241"/>
      <c r="V630" s="241"/>
      <c r="W630" s="241"/>
      <c r="X630" s="241"/>
      <c r="Y630" s="241"/>
      <c r="Z630" s="241"/>
    </row>
    <row r="631" spans="3:26" ht="16.5">
      <c r="C631" s="101"/>
      <c r="D631" s="101"/>
      <c r="E631" s="101"/>
      <c r="F631" s="101"/>
      <c r="G631" s="101"/>
      <c r="H631" s="101"/>
      <c r="I631" s="101"/>
      <c r="J631" s="101"/>
      <c r="S631" s="101"/>
      <c r="T631" s="241"/>
      <c r="U631" s="241"/>
      <c r="V631" s="241"/>
      <c r="W631" s="241"/>
      <c r="X631" s="241"/>
      <c r="Y631" s="241"/>
      <c r="Z631" s="241"/>
    </row>
    <row r="632" spans="3:26" ht="16.5">
      <c r="C632" s="101"/>
      <c r="D632" s="101"/>
      <c r="E632" s="101"/>
      <c r="F632" s="101"/>
      <c r="G632" s="101"/>
      <c r="H632" s="101"/>
      <c r="I632" s="101"/>
      <c r="J632" s="101"/>
      <c r="S632" s="101"/>
      <c r="T632" s="241"/>
      <c r="U632" s="241"/>
      <c r="V632" s="241"/>
      <c r="W632" s="241"/>
      <c r="X632" s="241"/>
      <c r="Y632" s="241"/>
      <c r="Z632" s="241"/>
    </row>
    <row r="633" spans="3:26" ht="16.5">
      <c r="C633" s="101"/>
      <c r="D633" s="101"/>
      <c r="E633" s="101"/>
      <c r="F633" s="101"/>
      <c r="G633" s="101"/>
      <c r="H633" s="101"/>
      <c r="I633" s="101"/>
      <c r="J633" s="101"/>
      <c r="S633" s="101"/>
      <c r="T633" s="241"/>
      <c r="U633" s="241"/>
      <c r="V633" s="241"/>
      <c r="W633" s="241"/>
      <c r="X633" s="241"/>
      <c r="Y633" s="241"/>
      <c r="Z633" s="241"/>
    </row>
    <row r="634" spans="3:26" ht="16.5">
      <c r="C634" s="101"/>
      <c r="D634" s="101"/>
      <c r="E634" s="101"/>
      <c r="F634" s="101"/>
      <c r="G634" s="101"/>
      <c r="H634" s="101"/>
      <c r="I634" s="101"/>
      <c r="J634" s="101"/>
      <c r="S634" s="101"/>
      <c r="T634" s="241"/>
      <c r="U634" s="241"/>
      <c r="V634" s="241"/>
      <c r="W634" s="241"/>
      <c r="X634" s="241"/>
      <c r="Y634" s="241"/>
      <c r="Z634" s="241"/>
    </row>
    <row r="635" spans="3:26" ht="16.5">
      <c r="C635" s="101"/>
      <c r="D635" s="101"/>
      <c r="E635" s="101"/>
      <c r="F635" s="101"/>
      <c r="G635" s="101"/>
      <c r="H635" s="101"/>
      <c r="I635" s="101"/>
      <c r="J635" s="101"/>
      <c r="S635" s="101"/>
      <c r="T635" s="241"/>
      <c r="U635" s="241"/>
      <c r="V635" s="241"/>
      <c r="W635" s="241"/>
      <c r="X635" s="241"/>
      <c r="Y635" s="241"/>
      <c r="Z635" s="241"/>
    </row>
    <row r="636" spans="3:26" ht="16.5">
      <c r="C636" s="101"/>
      <c r="D636" s="101"/>
      <c r="E636" s="101"/>
      <c r="F636" s="101"/>
      <c r="G636" s="101"/>
      <c r="H636" s="101"/>
      <c r="I636" s="101"/>
      <c r="J636" s="101"/>
      <c r="S636" s="101"/>
      <c r="T636" s="241"/>
      <c r="U636" s="241"/>
      <c r="V636" s="241"/>
      <c r="W636" s="241"/>
      <c r="X636" s="241"/>
      <c r="Y636" s="241"/>
      <c r="Z636" s="241"/>
    </row>
    <row r="637" spans="3:26" ht="16.5">
      <c r="C637" s="101"/>
      <c r="D637" s="101"/>
      <c r="E637" s="101"/>
      <c r="F637" s="101"/>
      <c r="G637" s="101"/>
      <c r="H637" s="101"/>
      <c r="I637" s="101"/>
      <c r="J637" s="101"/>
      <c r="S637" s="101"/>
      <c r="T637" s="241"/>
      <c r="U637" s="241"/>
      <c r="V637" s="241"/>
      <c r="W637" s="241"/>
      <c r="X637" s="241"/>
      <c r="Y637" s="241"/>
      <c r="Z637" s="241"/>
    </row>
    <row r="638" spans="3:26" ht="16.5">
      <c r="C638" s="101"/>
      <c r="D638" s="101"/>
      <c r="E638" s="101"/>
      <c r="F638" s="101"/>
      <c r="G638" s="101"/>
      <c r="H638" s="101"/>
      <c r="I638" s="101"/>
      <c r="J638" s="101"/>
      <c r="S638" s="101"/>
      <c r="T638" s="241"/>
      <c r="U638" s="241"/>
      <c r="V638" s="241"/>
      <c r="W638" s="241"/>
      <c r="X638" s="241"/>
      <c r="Y638" s="241"/>
      <c r="Z638" s="241"/>
    </row>
    <row r="639" spans="3:26" ht="16.5">
      <c r="C639" s="101"/>
      <c r="D639" s="101"/>
      <c r="E639" s="101"/>
      <c r="F639" s="101"/>
      <c r="G639" s="101"/>
      <c r="H639" s="101"/>
      <c r="I639" s="101"/>
      <c r="J639" s="101"/>
      <c r="S639" s="101"/>
      <c r="T639" s="241"/>
      <c r="U639" s="241"/>
      <c r="V639" s="241"/>
      <c r="W639" s="241"/>
      <c r="X639" s="241"/>
      <c r="Y639" s="241"/>
      <c r="Z639" s="241"/>
    </row>
    <row r="640" spans="3:26" ht="16.5">
      <c r="C640" s="101"/>
      <c r="D640" s="101"/>
      <c r="E640" s="101"/>
      <c r="F640" s="101"/>
      <c r="G640" s="101"/>
      <c r="H640" s="101"/>
      <c r="I640" s="101"/>
      <c r="J640" s="101"/>
      <c r="S640" s="101"/>
      <c r="T640" s="241"/>
      <c r="U640" s="241"/>
      <c r="V640" s="241"/>
      <c r="W640" s="241"/>
      <c r="X640" s="241"/>
      <c r="Y640" s="241"/>
      <c r="Z640" s="241"/>
    </row>
    <row r="641" spans="3:26" ht="16.5">
      <c r="C641" s="101"/>
      <c r="D641" s="101"/>
      <c r="E641" s="101"/>
      <c r="F641" s="101"/>
      <c r="G641" s="101"/>
      <c r="H641" s="101"/>
      <c r="I641" s="101"/>
      <c r="J641" s="101"/>
      <c r="S641" s="101"/>
      <c r="T641" s="241"/>
      <c r="U641" s="241"/>
      <c r="V641" s="241"/>
      <c r="W641" s="241"/>
      <c r="X641" s="241"/>
      <c r="Y641" s="241"/>
      <c r="Z641" s="241"/>
    </row>
    <row r="642" spans="3:26" ht="16.5">
      <c r="C642" s="101"/>
      <c r="D642" s="101"/>
      <c r="E642" s="101"/>
      <c r="F642" s="101"/>
      <c r="G642" s="101"/>
      <c r="H642" s="101"/>
      <c r="I642" s="101"/>
      <c r="J642" s="101"/>
      <c r="S642" s="101"/>
      <c r="T642" s="241"/>
      <c r="U642" s="241"/>
      <c r="V642" s="241"/>
      <c r="W642" s="241"/>
      <c r="X642" s="241"/>
      <c r="Y642" s="241"/>
      <c r="Z642" s="241"/>
    </row>
    <row r="643" spans="3:26" ht="16.5">
      <c r="C643" s="101"/>
      <c r="D643" s="101"/>
      <c r="E643" s="101"/>
      <c r="F643" s="101"/>
      <c r="G643" s="101"/>
      <c r="H643" s="101"/>
      <c r="I643" s="101"/>
      <c r="J643" s="101"/>
      <c r="S643" s="101"/>
      <c r="T643" s="241"/>
      <c r="U643" s="241"/>
      <c r="V643" s="241"/>
      <c r="W643" s="241"/>
      <c r="X643" s="241"/>
      <c r="Y643" s="241"/>
      <c r="Z643" s="241"/>
    </row>
    <row r="644" spans="3:26" ht="16.5">
      <c r="C644" s="101"/>
      <c r="D644" s="101"/>
      <c r="E644" s="101"/>
      <c r="F644" s="101"/>
      <c r="G644" s="101"/>
      <c r="H644" s="101"/>
      <c r="I644" s="101"/>
      <c r="J644" s="101"/>
      <c r="S644" s="101"/>
      <c r="T644" s="241"/>
      <c r="U644" s="241"/>
      <c r="V644" s="241"/>
      <c r="W644" s="241"/>
      <c r="X644" s="241"/>
      <c r="Y644" s="241"/>
      <c r="Z644" s="241"/>
    </row>
    <row r="645" spans="3:26" ht="16.5">
      <c r="C645" s="101"/>
      <c r="D645" s="101"/>
      <c r="E645" s="101"/>
      <c r="F645" s="101"/>
      <c r="G645" s="101"/>
      <c r="H645" s="101"/>
      <c r="I645" s="101"/>
      <c r="J645" s="101"/>
      <c r="S645" s="101"/>
      <c r="T645" s="241"/>
      <c r="U645" s="241"/>
      <c r="V645" s="241"/>
      <c r="W645" s="241"/>
      <c r="X645" s="241"/>
      <c r="Y645" s="241"/>
      <c r="Z645" s="241"/>
    </row>
    <row r="646" spans="3:26" ht="16.5">
      <c r="C646" s="101"/>
      <c r="D646" s="101"/>
      <c r="E646" s="101"/>
      <c r="F646" s="101"/>
      <c r="G646" s="101"/>
      <c r="H646" s="101"/>
      <c r="I646" s="101"/>
      <c r="J646" s="101"/>
      <c r="S646" s="101"/>
      <c r="T646" s="241"/>
      <c r="U646" s="241"/>
      <c r="V646" s="241"/>
      <c r="W646" s="241"/>
      <c r="X646" s="241"/>
      <c r="Y646" s="241"/>
      <c r="Z646" s="241"/>
    </row>
    <row r="647" spans="3:26" ht="16.5">
      <c r="C647" s="101"/>
      <c r="D647" s="101"/>
      <c r="E647" s="101"/>
      <c r="F647" s="101"/>
      <c r="G647" s="101"/>
      <c r="H647" s="101"/>
      <c r="I647" s="101"/>
      <c r="J647" s="101"/>
      <c r="S647" s="101"/>
      <c r="T647" s="241"/>
      <c r="U647" s="241"/>
      <c r="V647" s="241"/>
      <c r="W647" s="241"/>
      <c r="X647" s="241"/>
      <c r="Y647" s="241"/>
      <c r="Z647" s="241"/>
    </row>
    <row r="648" spans="3:26" ht="16.5">
      <c r="C648" s="101"/>
      <c r="D648" s="101"/>
      <c r="E648" s="101"/>
      <c r="F648" s="101"/>
      <c r="G648" s="101"/>
      <c r="H648" s="101"/>
      <c r="I648" s="101"/>
      <c r="J648" s="101"/>
      <c r="S648" s="101"/>
      <c r="T648" s="241"/>
      <c r="U648" s="241"/>
      <c r="V648" s="241"/>
      <c r="W648" s="241"/>
      <c r="X648" s="241"/>
      <c r="Y648" s="241"/>
      <c r="Z648" s="241"/>
    </row>
    <row r="649" spans="3:26" ht="16.5">
      <c r="C649" s="101"/>
      <c r="D649" s="101"/>
      <c r="E649" s="101"/>
      <c r="F649" s="101"/>
      <c r="G649" s="101"/>
      <c r="H649" s="101"/>
      <c r="I649" s="101"/>
      <c r="J649" s="101"/>
      <c r="S649" s="101"/>
      <c r="T649" s="241"/>
      <c r="U649" s="241"/>
      <c r="V649" s="241"/>
      <c r="W649" s="241"/>
      <c r="X649" s="241"/>
      <c r="Y649" s="241"/>
      <c r="Z649" s="241"/>
    </row>
    <row r="650" spans="3:26" ht="16.5">
      <c r="C650" s="101"/>
      <c r="D650" s="101"/>
      <c r="E650" s="101"/>
      <c r="F650" s="101"/>
      <c r="G650" s="101"/>
      <c r="H650" s="101"/>
      <c r="I650" s="101"/>
      <c r="J650" s="101"/>
      <c r="S650" s="101"/>
      <c r="T650" s="241"/>
      <c r="U650" s="241"/>
      <c r="V650" s="241"/>
      <c r="W650" s="241"/>
      <c r="X650" s="241"/>
      <c r="Y650" s="241"/>
      <c r="Z650" s="241"/>
    </row>
    <row r="651" spans="3:26" ht="16.5">
      <c r="C651" s="101"/>
      <c r="D651" s="101"/>
      <c r="E651" s="101"/>
      <c r="F651" s="101"/>
      <c r="G651" s="101"/>
      <c r="H651" s="101"/>
      <c r="I651" s="101"/>
      <c r="J651" s="101"/>
      <c r="S651" s="101"/>
      <c r="T651" s="241"/>
      <c r="U651" s="241"/>
      <c r="V651" s="241"/>
      <c r="W651" s="241"/>
      <c r="X651" s="241"/>
      <c r="Y651" s="241"/>
      <c r="Z651" s="241"/>
    </row>
    <row r="652" spans="3:26" ht="16.5">
      <c r="C652" s="101"/>
      <c r="D652" s="101"/>
      <c r="E652" s="101"/>
      <c r="F652" s="101"/>
      <c r="G652" s="101"/>
      <c r="H652" s="101"/>
      <c r="I652" s="101"/>
      <c r="J652" s="101"/>
      <c r="S652" s="101"/>
      <c r="T652" s="241"/>
      <c r="U652" s="241"/>
      <c r="V652" s="241"/>
      <c r="W652" s="241"/>
      <c r="X652" s="241"/>
      <c r="Y652" s="241"/>
      <c r="Z652" s="241"/>
    </row>
    <row r="653" spans="3:26" ht="16.5">
      <c r="C653" s="101"/>
      <c r="D653" s="101"/>
      <c r="E653" s="101"/>
      <c r="F653" s="101"/>
      <c r="G653" s="101"/>
      <c r="H653" s="101"/>
      <c r="I653" s="101"/>
      <c r="J653" s="101"/>
      <c r="S653" s="101"/>
      <c r="T653" s="241"/>
      <c r="U653" s="241"/>
      <c r="V653" s="241"/>
      <c r="W653" s="241"/>
      <c r="X653" s="241"/>
      <c r="Y653" s="241"/>
      <c r="Z653" s="241"/>
    </row>
    <row r="654" spans="3:26" ht="16.5">
      <c r="C654" s="101"/>
      <c r="D654" s="101"/>
      <c r="E654" s="101"/>
      <c r="F654" s="101"/>
      <c r="G654" s="101"/>
      <c r="H654" s="101"/>
      <c r="I654" s="101"/>
      <c r="J654" s="101"/>
      <c r="S654" s="101"/>
      <c r="T654" s="241"/>
      <c r="U654" s="241"/>
      <c r="V654" s="241"/>
      <c r="W654" s="241"/>
      <c r="X654" s="241"/>
      <c r="Y654" s="241"/>
      <c r="Z654" s="241"/>
    </row>
    <row r="655" spans="3:26" ht="16.5">
      <c r="C655" s="101"/>
      <c r="D655" s="101"/>
      <c r="E655" s="101"/>
      <c r="F655" s="101"/>
      <c r="G655" s="101"/>
      <c r="H655" s="101"/>
      <c r="I655" s="101"/>
      <c r="J655" s="101"/>
      <c r="S655" s="101"/>
      <c r="T655" s="241"/>
      <c r="U655" s="241"/>
      <c r="V655" s="241"/>
      <c r="W655" s="241"/>
      <c r="X655" s="241"/>
      <c r="Y655" s="241"/>
      <c r="Z655" s="241"/>
    </row>
    <row r="656" spans="3:26" ht="16.5">
      <c r="C656" s="101"/>
      <c r="D656" s="101"/>
      <c r="E656" s="101"/>
      <c r="F656" s="101"/>
      <c r="G656" s="101"/>
      <c r="H656" s="101"/>
      <c r="I656" s="101"/>
      <c r="J656" s="101"/>
      <c r="S656" s="101"/>
      <c r="T656" s="241"/>
      <c r="U656" s="241"/>
      <c r="V656" s="241"/>
      <c r="W656" s="241"/>
      <c r="X656" s="241"/>
      <c r="Y656" s="241"/>
      <c r="Z656" s="241"/>
    </row>
    <row r="657" spans="3:26" ht="16.5">
      <c r="C657" s="101"/>
      <c r="D657" s="101"/>
      <c r="E657" s="101"/>
      <c r="F657" s="101"/>
      <c r="G657" s="101"/>
      <c r="H657" s="101"/>
      <c r="I657" s="101"/>
      <c r="J657" s="101"/>
      <c r="S657" s="101"/>
      <c r="T657" s="241"/>
      <c r="U657" s="241"/>
      <c r="V657" s="241"/>
      <c r="W657" s="241"/>
      <c r="X657" s="241"/>
      <c r="Y657" s="241"/>
      <c r="Z657" s="241"/>
    </row>
    <row r="658" spans="3:26" ht="16.5">
      <c r="C658" s="101"/>
      <c r="D658" s="101"/>
      <c r="E658" s="101"/>
      <c r="F658" s="101"/>
      <c r="G658" s="101"/>
      <c r="H658" s="101"/>
      <c r="I658" s="101"/>
      <c r="J658" s="101"/>
      <c r="S658" s="101"/>
      <c r="T658" s="241"/>
      <c r="U658" s="241"/>
      <c r="V658" s="241"/>
      <c r="W658" s="241"/>
      <c r="X658" s="241"/>
      <c r="Y658" s="241"/>
      <c r="Z658" s="241"/>
    </row>
    <row r="659" spans="3:26" ht="16.5">
      <c r="C659" s="101"/>
      <c r="D659" s="101"/>
      <c r="E659" s="101"/>
      <c r="F659" s="101"/>
      <c r="G659" s="101"/>
      <c r="H659" s="101"/>
      <c r="I659" s="101"/>
      <c r="J659" s="101"/>
      <c r="S659" s="101"/>
      <c r="T659" s="241"/>
      <c r="U659" s="241"/>
      <c r="V659" s="241"/>
      <c r="W659" s="241"/>
      <c r="X659" s="241"/>
      <c r="Y659" s="241"/>
      <c r="Z659" s="241"/>
    </row>
    <row r="660" spans="3:26" ht="16.5">
      <c r="C660" s="101"/>
      <c r="D660" s="101"/>
      <c r="E660" s="101"/>
      <c r="F660" s="101"/>
      <c r="G660" s="101"/>
      <c r="H660" s="101"/>
      <c r="I660" s="101"/>
      <c r="J660" s="101"/>
      <c r="S660" s="101"/>
      <c r="T660" s="241"/>
      <c r="U660" s="241"/>
      <c r="V660" s="241"/>
      <c r="W660" s="241"/>
      <c r="X660" s="241"/>
      <c r="Y660" s="241"/>
      <c r="Z660" s="241"/>
    </row>
    <row r="661" spans="3:26" ht="16.5">
      <c r="C661" s="101"/>
      <c r="D661" s="101"/>
      <c r="E661" s="101"/>
      <c r="F661" s="101"/>
      <c r="G661" s="101"/>
      <c r="H661" s="101"/>
      <c r="I661" s="101"/>
      <c r="J661" s="101"/>
      <c r="S661" s="101"/>
      <c r="T661" s="241"/>
      <c r="U661" s="241"/>
      <c r="V661" s="241"/>
      <c r="W661" s="241"/>
      <c r="X661" s="241"/>
      <c r="Y661" s="241"/>
      <c r="Z661" s="241"/>
    </row>
    <row r="662" spans="3:26" ht="16.5">
      <c r="C662" s="101"/>
      <c r="D662" s="101"/>
      <c r="E662" s="101"/>
      <c r="F662" s="101"/>
      <c r="G662" s="101"/>
      <c r="H662" s="101"/>
      <c r="I662" s="101"/>
      <c r="J662" s="101"/>
      <c r="S662" s="101"/>
      <c r="T662" s="241"/>
      <c r="U662" s="241"/>
      <c r="V662" s="241"/>
      <c r="W662" s="241"/>
      <c r="X662" s="241"/>
      <c r="Y662" s="241"/>
      <c r="Z662" s="241"/>
    </row>
    <row r="663" spans="3:26" ht="16.5">
      <c r="C663" s="101"/>
      <c r="D663" s="101"/>
      <c r="E663" s="101"/>
      <c r="F663" s="101"/>
      <c r="G663" s="101"/>
      <c r="H663" s="101"/>
      <c r="I663" s="101"/>
      <c r="J663" s="101"/>
      <c r="S663" s="101"/>
      <c r="T663" s="241"/>
      <c r="U663" s="241"/>
      <c r="V663" s="241"/>
      <c r="W663" s="241"/>
      <c r="X663" s="241"/>
      <c r="Y663" s="241"/>
      <c r="Z663" s="241"/>
    </row>
    <row r="664" spans="3:26" ht="16.5">
      <c r="C664" s="101"/>
      <c r="D664" s="101"/>
      <c r="E664" s="101"/>
      <c r="F664" s="101"/>
      <c r="G664" s="101"/>
      <c r="H664" s="101"/>
      <c r="I664" s="101"/>
      <c r="J664" s="101"/>
      <c r="S664" s="101"/>
      <c r="T664" s="241"/>
      <c r="U664" s="241"/>
      <c r="V664" s="241"/>
      <c r="W664" s="241"/>
      <c r="X664" s="241"/>
      <c r="Y664" s="241"/>
      <c r="Z664" s="241"/>
    </row>
    <row r="665" spans="3:26" ht="16.5">
      <c r="C665" s="101"/>
      <c r="D665" s="101"/>
      <c r="E665" s="101"/>
      <c r="F665" s="101"/>
      <c r="G665" s="101"/>
      <c r="H665" s="101"/>
      <c r="I665" s="101"/>
      <c r="J665" s="101"/>
      <c r="S665" s="101"/>
      <c r="T665" s="241"/>
      <c r="U665" s="241"/>
      <c r="V665" s="241"/>
      <c r="W665" s="241"/>
      <c r="X665" s="241"/>
      <c r="Y665" s="241"/>
      <c r="Z665" s="241"/>
    </row>
    <row r="666" spans="3:26" ht="16.5">
      <c r="C666" s="101"/>
      <c r="D666" s="101"/>
      <c r="E666" s="101"/>
      <c r="F666" s="101"/>
      <c r="G666" s="101"/>
      <c r="H666" s="101"/>
      <c r="I666" s="101"/>
      <c r="J666" s="101"/>
      <c r="S666" s="101"/>
      <c r="T666" s="241"/>
      <c r="U666" s="241"/>
      <c r="V666" s="241"/>
      <c r="W666" s="241"/>
      <c r="X666" s="241"/>
      <c r="Y666" s="241"/>
      <c r="Z666" s="241"/>
    </row>
    <row r="667" spans="3:26" ht="16.5">
      <c r="C667" s="101"/>
      <c r="D667" s="101"/>
      <c r="E667" s="101"/>
      <c r="F667" s="101"/>
      <c r="G667" s="101"/>
      <c r="H667" s="101"/>
      <c r="I667" s="101"/>
      <c r="J667" s="101"/>
      <c r="S667" s="101"/>
      <c r="T667" s="241"/>
      <c r="U667" s="241"/>
      <c r="V667" s="241"/>
      <c r="W667" s="241"/>
      <c r="X667" s="241"/>
      <c r="Y667" s="241"/>
      <c r="Z667" s="241"/>
    </row>
    <row r="668" spans="3:26" ht="16.5">
      <c r="C668" s="101"/>
      <c r="D668" s="101"/>
      <c r="E668" s="101"/>
      <c r="F668" s="101"/>
      <c r="G668" s="101"/>
      <c r="H668" s="101"/>
      <c r="I668" s="101"/>
      <c r="J668" s="101"/>
      <c r="S668" s="101"/>
      <c r="T668" s="241"/>
      <c r="U668" s="241"/>
      <c r="V668" s="241"/>
      <c r="W668" s="241"/>
      <c r="X668" s="241"/>
      <c r="Y668" s="241"/>
      <c r="Z668" s="241"/>
    </row>
    <row r="669" spans="3:26" ht="16.5">
      <c r="C669" s="101"/>
      <c r="D669" s="101"/>
      <c r="E669" s="101"/>
      <c r="F669" s="101"/>
      <c r="G669" s="101"/>
      <c r="H669" s="101"/>
      <c r="I669" s="101"/>
      <c r="J669" s="101"/>
      <c r="S669" s="101"/>
      <c r="T669" s="241"/>
      <c r="U669" s="241"/>
      <c r="V669" s="241"/>
      <c r="W669" s="241"/>
      <c r="X669" s="241"/>
      <c r="Y669" s="241"/>
      <c r="Z669" s="241"/>
    </row>
    <row r="670" spans="3:26" ht="16.5">
      <c r="C670" s="101"/>
      <c r="D670" s="101"/>
      <c r="E670" s="101"/>
      <c r="F670" s="101"/>
      <c r="G670" s="101"/>
      <c r="H670" s="101"/>
      <c r="I670" s="101"/>
      <c r="J670" s="101"/>
      <c r="S670" s="101"/>
      <c r="T670" s="241"/>
      <c r="U670" s="241"/>
      <c r="V670" s="241"/>
      <c r="W670" s="241"/>
      <c r="X670" s="241"/>
      <c r="Y670" s="241"/>
      <c r="Z670" s="241"/>
    </row>
    <row r="671" spans="3:26" ht="16.5">
      <c r="C671" s="101"/>
      <c r="D671" s="101"/>
      <c r="E671" s="101"/>
      <c r="F671" s="101"/>
      <c r="G671" s="101"/>
      <c r="H671" s="101"/>
      <c r="I671" s="101"/>
      <c r="J671" s="101"/>
      <c r="S671" s="101"/>
      <c r="T671" s="241"/>
      <c r="U671" s="241"/>
      <c r="V671" s="241"/>
      <c r="W671" s="241"/>
      <c r="X671" s="241"/>
      <c r="Y671" s="241"/>
      <c r="Z671" s="241"/>
    </row>
    <row r="672" spans="3:26" ht="16.5">
      <c r="C672" s="101"/>
      <c r="D672" s="101"/>
      <c r="E672" s="101"/>
      <c r="F672" s="101"/>
      <c r="G672" s="101"/>
      <c r="H672" s="101"/>
      <c r="I672" s="101"/>
      <c r="J672" s="101"/>
      <c r="S672" s="101"/>
      <c r="T672" s="241"/>
      <c r="U672" s="241"/>
      <c r="V672" s="241"/>
      <c r="W672" s="241"/>
      <c r="X672" s="241"/>
      <c r="Y672" s="241"/>
      <c r="Z672" s="241"/>
    </row>
    <row r="673" spans="3:26" ht="16.5">
      <c r="C673" s="101"/>
      <c r="D673" s="101"/>
      <c r="E673" s="101"/>
      <c r="F673" s="101"/>
      <c r="G673" s="101"/>
      <c r="H673" s="101"/>
      <c r="I673" s="101"/>
      <c r="J673" s="101"/>
      <c r="S673" s="101"/>
      <c r="T673" s="241"/>
      <c r="U673" s="241"/>
      <c r="V673" s="241"/>
      <c r="W673" s="241"/>
      <c r="X673" s="241"/>
      <c r="Y673" s="241"/>
      <c r="Z673" s="241"/>
    </row>
    <row r="674" spans="3:26" ht="16.5">
      <c r="C674" s="101"/>
      <c r="D674" s="101"/>
      <c r="E674" s="101"/>
      <c r="F674" s="101"/>
      <c r="G674" s="101"/>
      <c r="H674" s="101"/>
      <c r="I674" s="101"/>
      <c r="J674" s="101"/>
      <c r="S674" s="101"/>
      <c r="T674" s="241"/>
      <c r="U674" s="241"/>
      <c r="V674" s="241"/>
      <c r="W674" s="241"/>
      <c r="X674" s="241"/>
      <c r="Y674" s="241"/>
      <c r="Z674" s="241"/>
    </row>
    <row r="675" spans="3:26" ht="16.5">
      <c r="C675" s="101"/>
      <c r="D675" s="101"/>
      <c r="E675" s="101"/>
      <c r="F675" s="101"/>
      <c r="G675" s="101"/>
      <c r="H675" s="101"/>
      <c r="I675" s="101"/>
      <c r="J675" s="101"/>
      <c r="S675" s="101"/>
      <c r="T675" s="241"/>
      <c r="U675" s="241"/>
      <c r="V675" s="241"/>
      <c r="W675" s="241"/>
      <c r="X675" s="241"/>
      <c r="Y675" s="241"/>
      <c r="Z675" s="241"/>
    </row>
    <row r="676" spans="3:26" ht="16.5">
      <c r="C676" s="101"/>
      <c r="D676" s="101"/>
      <c r="E676" s="101"/>
      <c r="F676" s="101"/>
      <c r="G676" s="101"/>
      <c r="H676" s="101"/>
      <c r="I676" s="101"/>
      <c r="J676" s="101"/>
      <c r="S676" s="101"/>
      <c r="T676" s="241"/>
      <c r="U676" s="241"/>
      <c r="V676" s="241"/>
      <c r="W676" s="241"/>
      <c r="X676" s="241"/>
      <c r="Y676" s="241"/>
      <c r="Z676" s="241"/>
    </row>
    <row r="677" spans="3:26" ht="16.5">
      <c r="C677" s="101"/>
      <c r="D677" s="101"/>
      <c r="E677" s="101"/>
      <c r="F677" s="101"/>
      <c r="G677" s="101"/>
      <c r="H677" s="101"/>
      <c r="I677" s="101"/>
      <c r="J677" s="101"/>
      <c r="S677" s="101"/>
      <c r="T677" s="241"/>
      <c r="U677" s="241"/>
      <c r="V677" s="241"/>
      <c r="W677" s="241"/>
      <c r="X677" s="241"/>
      <c r="Y677" s="241"/>
      <c r="Z677" s="241"/>
    </row>
    <row r="678" spans="3:26" ht="16.5">
      <c r="C678" s="101"/>
      <c r="D678" s="101"/>
      <c r="E678" s="101"/>
      <c r="F678" s="101"/>
      <c r="G678" s="101"/>
      <c r="H678" s="101"/>
      <c r="I678" s="101"/>
      <c r="J678" s="101"/>
      <c r="S678" s="101"/>
      <c r="T678" s="241"/>
      <c r="U678" s="241"/>
      <c r="V678" s="241"/>
      <c r="W678" s="241"/>
      <c r="X678" s="241"/>
      <c r="Y678" s="241"/>
      <c r="Z678" s="241"/>
    </row>
    <row r="679" spans="3:26" ht="16.5">
      <c r="C679" s="101"/>
      <c r="D679" s="101"/>
      <c r="E679" s="101"/>
      <c r="F679" s="101"/>
      <c r="G679" s="101"/>
      <c r="H679" s="101"/>
      <c r="I679" s="101"/>
      <c r="J679" s="101"/>
      <c r="S679" s="101"/>
      <c r="T679" s="241"/>
      <c r="U679" s="241"/>
      <c r="V679" s="241"/>
      <c r="W679" s="241"/>
      <c r="X679" s="241"/>
      <c r="Y679" s="241"/>
      <c r="Z679" s="241"/>
    </row>
    <row r="680" spans="3:26" ht="16.5">
      <c r="C680" s="101"/>
      <c r="D680" s="101"/>
      <c r="E680" s="101"/>
      <c r="F680" s="101"/>
      <c r="G680" s="101"/>
      <c r="H680" s="101"/>
      <c r="I680" s="101"/>
      <c r="J680" s="101"/>
      <c r="S680" s="101"/>
      <c r="T680" s="241"/>
      <c r="U680" s="241"/>
      <c r="V680" s="241"/>
      <c r="W680" s="241"/>
      <c r="X680" s="241"/>
      <c r="Y680" s="241"/>
      <c r="Z680" s="241"/>
    </row>
    <row r="681" spans="3:26" ht="16.5">
      <c r="C681" s="101"/>
      <c r="D681" s="101"/>
      <c r="E681" s="101"/>
      <c r="F681" s="101"/>
      <c r="G681" s="101"/>
      <c r="H681" s="101"/>
      <c r="I681" s="101"/>
      <c r="J681" s="101"/>
      <c r="S681" s="101"/>
      <c r="T681" s="241"/>
      <c r="U681" s="241"/>
      <c r="V681" s="241"/>
      <c r="W681" s="241"/>
      <c r="X681" s="241"/>
      <c r="Y681" s="241"/>
      <c r="Z681" s="241"/>
    </row>
    <row r="682" spans="3:26" ht="16.5">
      <c r="C682" s="101"/>
      <c r="D682" s="101"/>
      <c r="E682" s="101"/>
      <c r="F682" s="101"/>
      <c r="G682" s="101"/>
      <c r="H682" s="101"/>
      <c r="I682" s="101"/>
      <c r="J682" s="101"/>
      <c r="S682" s="101"/>
      <c r="T682" s="241"/>
      <c r="U682" s="241"/>
      <c r="V682" s="241"/>
      <c r="W682" s="241"/>
      <c r="X682" s="241"/>
      <c r="Y682" s="241"/>
      <c r="Z682" s="241"/>
    </row>
    <row r="683" spans="3:26" ht="16.5">
      <c r="C683" s="101"/>
      <c r="D683" s="101"/>
      <c r="E683" s="101"/>
      <c r="F683" s="101"/>
      <c r="G683" s="101"/>
      <c r="H683" s="101"/>
      <c r="I683" s="101"/>
      <c r="J683" s="101"/>
      <c r="S683" s="101"/>
      <c r="T683" s="241"/>
      <c r="U683" s="241"/>
      <c r="V683" s="241"/>
      <c r="W683" s="241"/>
      <c r="X683" s="241"/>
      <c r="Y683" s="241"/>
      <c r="Z683" s="241"/>
    </row>
    <row r="684" spans="3:26" ht="16.5">
      <c r="C684" s="101"/>
      <c r="D684" s="101"/>
      <c r="E684" s="101"/>
      <c r="F684" s="101"/>
      <c r="G684" s="101"/>
      <c r="H684" s="101"/>
      <c r="I684" s="101"/>
      <c r="J684" s="101"/>
      <c r="S684" s="101"/>
      <c r="T684" s="241"/>
      <c r="U684" s="241"/>
      <c r="V684" s="241"/>
      <c r="W684" s="241"/>
      <c r="X684" s="241"/>
      <c r="Y684" s="241"/>
      <c r="Z684" s="241"/>
    </row>
    <row r="685" spans="3:26" ht="16.5">
      <c r="C685" s="101"/>
      <c r="D685" s="101"/>
      <c r="E685" s="101"/>
      <c r="F685" s="101"/>
      <c r="G685" s="101"/>
      <c r="H685" s="101"/>
      <c r="I685" s="101"/>
      <c r="J685" s="101"/>
      <c r="S685" s="101"/>
      <c r="T685" s="241"/>
      <c r="U685" s="241"/>
      <c r="V685" s="241"/>
      <c r="W685" s="241"/>
      <c r="X685" s="241"/>
      <c r="Y685" s="241"/>
      <c r="Z685" s="241"/>
    </row>
    <row r="686" spans="3:26" ht="16.5">
      <c r="C686" s="101"/>
      <c r="D686" s="101"/>
      <c r="E686" s="101"/>
      <c r="F686" s="101"/>
      <c r="G686" s="101"/>
      <c r="H686" s="101"/>
      <c r="I686" s="101"/>
      <c r="J686" s="101"/>
      <c r="S686" s="101"/>
      <c r="T686" s="241"/>
      <c r="U686" s="241"/>
      <c r="V686" s="241"/>
      <c r="W686" s="241"/>
      <c r="X686" s="241"/>
      <c r="Y686" s="241"/>
      <c r="Z686" s="241"/>
    </row>
    <row r="687" spans="3:26" ht="16.5">
      <c r="C687" s="101"/>
      <c r="D687" s="101"/>
      <c r="E687" s="101"/>
      <c r="F687" s="101"/>
      <c r="G687" s="101"/>
      <c r="H687" s="101"/>
      <c r="I687" s="101"/>
      <c r="J687" s="101"/>
      <c r="S687" s="101"/>
      <c r="T687" s="241"/>
      <c r="U687" s="241"/>
      <c r="V687" s="241"/>
      <c r="W687" s="241"/>
      <c r="X687" s="241"/>
      <c r="Y687" s="241"/>
      <c r="Z687" s="241"/>
    </row>
    <row r="688" spans="3:26" ht="16.5">
      <c r="C688" s="101"/>
      <c r="D688" s="101"/>
      <c r="E688" s="101"/>
      <c r="F688" s="101"/>
      <c r="G688" s="101"/>
      <c r="H688" s="101"/>
      <c r="I688" s="101"/>
      <c r="J688" s="101"/>
      <c r="S688" s="101"/>
      <c r="T688" s="241"/>
      <c r="U688" s="241"/>
      <c r="V688" s="241"/>
      <c r="W688" s="241"/>
      <c r="X688" s="241"/>
      <c r="Y688" s="241"/>
      <c r="Z688" s="241"/>
    </row>
    <row r="689" spans="3:26" ht="16.5">
      <c r="C689" s="101"/>
      <c r="D689" s="101"/>
      <c r="E689" s="101"/>
      <c r="F689" s="101"/>
      <c r="G689" s="101"/>
      <c r="H689" s="101"/>
      <c r="I689" s="101"/>
      <c r="J689" s="101"/>
      <c r="S689" s="101"/>
      <c r="T689" s="241"/>
      <c r="U689" s="241"/>
      <c r="V689" s="241"/>
      <c r="W689" s="241"/>
      <c r="X689" s="241"/>
      <c r="Y689" s="241"/>
      <c r="Z689" s="241"/>
    </row>
    <row r="690" spans="3:26" ht="16.5">
      <c r="C690" s="101"/>
      <c r="D690" s="101"/>
      <c r="E690" s="101"/>
      <c r="F690" s="101"/>
      <c r="G690" s="101"/>
      <c r="H690" s="101"/>
      <c r="I690" s="101"/>
      <c r="J690" s="101"/>
      <c r="S690" s="101"/>
      <c r="T690" s="241"/>
      <c r="U690" s="241"/>
      <c r="V690" s="241"/>
      <c r="W690" s="241"/>
      <c r="X690" s="241"/>
      <c r="Y690" s="241"/>
      <c r="Z690" s="241"/>
    </row>
    <row r="691" spans="3:26" ht="16.5">
      <c r="C691" s="101"/>
      <c r="D691" s="101"/>
      <c r="E691" s="101"/>
      <c r="F691" s="101"/>
      <c r="G691" s="101"/>
      <c r="H691" s="101"/>
      <c r="I691" s="101"/>
      <c r="J691" s="101"/>
      <c r="S691" s="101"/>
      <c r="T691" s="241"/>
      <c r="U691" s="241"/>
      <c r="V691" s="241"/>
      <c r="W691" s="241"/>
      <c r="X691" s="241"/>
      <c r="Y691" s="241"/>
      <c r="Z691" s="241"/>
    </row>
    <row r="692" spans="3:26" ht="16.5">
      <c r="C692" s="101"/>
      <c r="D692" s="101"/>
      <c r="E692" s="101"/>
      <c r="F692" s="101"/>
      <c r="G692" s="101"/>
      <c r="H692" s="101"/>
      <c r="I692" s="101"/>
      <c r="J692" s="101"/>
      <c r="S692" s="101"/>
      <c r="T692" s="241"/>
      <c r="U692" s="241"/>
      <c r="V692" s="241"/>
      <c r="W692" s="241"/>
      <c r="X692" s="241"/>
      <c r="Y692" s="241"/>
      <c r="Z692" s="241"/>
    </row>
    <row r="693" spans="3:26" ht="16.5">
      <c r="C693" s="101"/>
      <c r="D693" s="101"/>
      <c r="E693" s="101"/>
      <c r="F693" s="101"/>
      <c r="G693" s="101"/>
      <c r="H693" s="101"/>
      <c r="I693" s="101"/>
      <c r="J693" s="101"/>
      <c r="S693" s="101"/>
      <c r="T693" s="241"/>
      <c r="U693" s="241"/>
      <c r="V693" s="241"/>
      <c r="W693" s="241"/>
      <c r="X693" s="241"/>
      <c r="Y693" s="241"/>
      <c r="Z693" s="241"/>
    </row>
    <row r="694" spans="3:26" ht="16.5">
      <c r="C694" s="101"/>
      <c r="D694" s="101"/>
      <c r="E694" s="101"/>
      <c r="F694" s="101"/>
      <c r="G694" s="101"/>
      <c r="H694" s="101"/>
      <c r="I694" s="101"/>
      <c r="J694" s="101"/>
      <c r="S694" s="101"/>
      <c r="T694" s="241"/>
      <c r="U694" s="241"/>
      <c r="V694" s="241"/>
      <c r="W694" s="241"/>
      <c r="X694" s="241"/>
      <c r="Y694" s="241"/>
      <c r="Z694" s="241"/>
    </row>
    <row r="695" spans="3:26" ht="16.5">
      <c r="C695" s="101"/>
      <c r="D695" s="101"/>
      <c r="E695" s="101"/>
      <c r="F695" s="101"/>
      <c r="G695" s="101"/>
      <c r="H695" s="101"/>
      <c r="I695" s="101"/>
      <c r="J695" s="101"/>
      <c r="S695" s="101"/>
      <c r="T695" s="241"/>
      <c r="U695" s="241"/>
      <c r="V695" s="241"/>
      <c r="W695" s="241"/>
      <c r="X695" s="241"/>
      <c r="Y695" s="241"/>
      <c r="Z695" s="241"/>
    </row>
    <row r="696" spans="3:26" ht="16.5">
      <c r="C696" s="101"/>
      <c r="D696" s="101"/>
      <c r="E696" s="101"/>
      <c r="F696" s="101"/>
      <c r="G696" s="101"/>
      <c r="H696" s="101"/>
      <c r="I696" s="101"/>
      <c r="J696" s="101"/>
      <c r="S696" s="101"/>
      <c r="T696" s="241"/>
      <c r="U696" s="241"/>
      <c r="V696" s="241"/>
      <c r="W696" s="241"/>
      <c r="X696" s="241"/>
      <c r="Y696" s="241"/>
      <c r="Z696" s="241"/>
    </row>
    <row r="697" spans="3:26" ht="16.5">
      <c r="C697" s="101"/>
      <c r="D697" s="101"/>
      <c r="E697" s="101"/>
      <c r="F697" s="101"/>
      <c r="G697" s="101"/>
      <c r="H697" s="101"/>
      <c r="I697" s="101"/>
      <c r="J697" s="101"/>
      <c r="S697" s="101"/>
      <c r="T697" s="241"/>
      <c r="U697" s="241"/>
      <c r="V697" s="241"/>
      <c r="W697" s="241"/>
      <c r="X697" s="241"/>
      <c r="Y697" s="241"/>
      <c r="Z697" s="241"/>
    </row>
    <row r="698" spans="3:26" ht="16.5">
      <c r="C698" s="101"/>
      <c r="D698" s="101"/>
      <c r="E698" s="101"/>
      <c r="F698" s="101"/>
      <c r="G698" s="101"/>
      <c r="H698" s="101"/>
      <c r="I698" s="101"/>
      <c r="J698" s="101"/>
      <c r="S698" s="101"/>
      <c r="T698" s="241"/>
      <c r="U698" s="241"/>
      <c r="V698" s="241"/>
      <c r="W698" s="241"/>
      <c r="X698" s="241"/>
      <c r="Y698" s="241"/>
      <c r="Z698" s="241"/>
    </row>
    <row r="699" spans="3:26" ht="16.5">
      <c r="C699" s="101"/>
      <c r="D699" s="101"/>
      <c r="E699" s="101"/>
      <c r="F699" s="101"/>
      <c r="G699" s="101"/>
      <c r="H699" s="101"/>
      <c r="I699" s="101"/>
      <c r="J699" s="101"/>
      <c r="S699" s="101"/>
      <c r="T699" s="241"/>
      <c r="U699" s="241"/>
      <c r="V699" s="241"/>
      <c r="W699" s="241"/>
      <c r="X699" s="241"/>
      <c r="Y699" s="241"/>
      <c r="Z699" s="241"/>
    </row>
    <row r="700" spans="3:26" ht="16.5">
      <c r="C700" s="101"/>
      <c r="D700" s="101"/>
      <c r="E700" s="101"/>
      <c r="F700" s="101"/>
      <c r="G700" s="101"/>
      <c r="H700" s="101"/>
      <c r="I700" s="101"/>
      <c r="J700" s="101"/>
      <c r="S700" s="101"/>
      <c r="T700" s="241"/>
      <c r="U700" s="241"/>
      <c r="V700" s="241"/>
      <c r="W700" s="241"/>
      <c r="X700" s="241"/>
      <c r="Y700" s="241"/>
      <c r="Z700" s="241"/>
    </row>
    <row r="701" spans="3:26" ht="16.5">
      <c r="C701" s="101"/>
      <c r="D701" s="101"/>
      <c r="E701" s="101"/>
      <c r="F701" s="101"/>
      <c r="G701" s="101"/>
      <c r="H701" s="101"/>
      <c r="I701" s="101"/>
      <c r="J701" s="101"/>
      <c r="S701" s="101"/>
      <c r="T701" s="241"/>
      <c r="U701" s="241"/>
      <c r="V701" s="241"/>
      <c r="W701" s="241"/>
      <c r="X701" s="241"/>
      <c r="Y701" s="241"/>
      <c r="Z701" s="241"/>
    </row>
    <row r="702" spans="3:26" ht="16.5">
      <c r="C702" s="101"/>
      <c r="D702" s="101"/>
      <c r="E702" s="101"/>
      <c r="F702" s="101"/>
      <c r="G702" s="101"/>
      <c r="H702" s="101"/>
      <c r="I702" s="101"/>
      <c r="J702" s="101"/>
      <c r="S702" s="101"/>
      <c r="T702" s="241"/>
      <c r="U702" s="241"/>
      <c r="V702" s="241"/>
      <c r="W702" s="241"/>
      <c r="X702" s="241"/>
      <c r="Y702" s="241"/>
      <c r="Z702" s="241"/>
    </row>
    <row r="703" spans="3:26" ht="16.5">
      <c r="C703" s="101"/>
      <c r="D703" s="101"/>
      <c r="E703" s="101"/>
      <c r="F703" s="101"/>
      <c r="G703" s="101"/>
      <c r="H703" s="101"/>
      <c r="I703" s="101"/>
      <c r="J703" s="101"/>
      <c r="S703" s="101"/>
      <c r="T703" s="241"/>
      <c r="U703" s="241"/>
      <c r="V703" s="241"/>
      <c r="W703" s="241"/>
      <c r="X703" s="241"/>
      <c r="Y703" s="241"/>
      <c r="Z703" s="241"/>
    </row>
    <row r="704" spans="3:26" ht="16.5">
      <c r="C704" s="101"/>
      <c r="D704" s="101"/>
      <c r="E704" s="101"/>
      <c r="F704" s="101"/>
      <c r="G704" s="101"/>
      <c r="H704" s="101"/>
      <c r="I704" s="101"/>
      <c r="J704" s="101"/>
      <c r="S704" s="101"/>
      <c r="T704" s="241"/>
      <c r="U704" s="241"/>
      <c r="V704" s="241"/>
      <c r="W704" s="241"/>
      <c r="X704" s="241"/>
      <c r="Y704" s="241"/>
      <c r="Z704" s="241"/>
    </row>
    <row r="705" spans="3:26" ht="16.5">
      <c r="C705" s="101"/>
      <c r="D705" s="101"/>
      <c r="E705" s="101"/>
      <c r="F705" s="101"/>
      <c r="G705" s="101"/>
      <c r="H705" s="101"/>
      <c r="I705" s="101"/>
      <c r="J705" s="101"/>
      <c r="S705" s="101"/>
      <c r="T705" s="241"/>
      <c r="U705" s="241"/>
      <c r="V705" s="241"/>
      <c r="W705" s="241"/>
      <c r="X705" s="241"/>
      <c r="Y705" s="241"/>
      <c r="Z705" s="241"/>
    </row>
    <row r="706" spans="3:26" ht="16.5">
      <c r="C706" s="101"/>
      <c r="D706" s="101"/>
      <c r="E706" s="101"/>
      <c r="F706" s="101"/>
      <c r="G706" s="101"/>
      <c r="H706" s="101"/>
      <c r="I706" s="101"/>
      <c r="J706" s="101"/>
      <c r="S706" s="101"/>
      <c r="T706" s="241"/>
      <c r="U706" s="241"/>
      <c r="V706" s="241"/>
      <c r="W706" s="241"/>
      <c r="X706" s="241"/>
      <c r="Y706" s="241"/>
      <c r="Z706" s="241"/>
    </row>
    <row r="707" spans="3:26" ht="16.5">
      <c r="C707" s="101"/>
      <c r="D707" s="101"/>
      <c r="E707" s="101"/>
      <c r="F707" s="101"/>
      <c r="G707" s="101"/>
      <c r="H707" s="101"/>
      <c r="I707" s="101"/>
      <c r="J707" s="101"/>
      <c r="S707" s="101"/>
      <c r="T707" s="241"/>
      <c r="U707" s="241"/>
      <c r="V707" s="241"/>
      <c r="W707" s="241"/>
      <c r="X707" s="241"/>
      <c r="Y707" s="241"/>
      <c r="Z707" s="241"/>
    </row>
    <row r="708" spans="3:26" ht="16.5">
      <c r="C708" s="101"/>
      <c r="D708" s="101"/>
      <c r="E708" s="101"/>
      <c r="F708" s="101"/>
      <c r="G708" s="101"/>
      <c r="H708" s="101"/>
      <c r="I708" s="101"/>
      <c r="J708" s="101"/>
      <c r="S708" s="101"/>
      <c r="T708" s="241"/>
      <c r="U708" s="241"/>
      <c r="V708" s="241"/>
      <c r="W708" s="241"/>
      <c r="X708" s="241"/>
      <c r="Y708" s="241"/>
      <c r="Z708" s="241"/>
    </row>
    <row r="709" spans="3:26" ht="16.5">
      <c r="C709" s="101"/>
      <c r="D709" s="101"/>
      <c r="E709" s="101"/>
      <c r="F709" s="101"/>
      <c r="G709" s="101"/>
      <c r="H709" s="101"/>
      <c r="I709" s="101"/>
      <c r="J709" s="101"/>
      <c r="S709" s="101"/>
      <c r="T709" s="241"/>
      <c r="U709" s="241"/>
      <c r="V709" s="241"/>
      <c r="W709" s="241"/>
      <c r="X709" s="241"/>
      <c r="Y709" s="241"/>
      <c r="Z709" s="241"/>
    </row>
    <row r="710" spans="3:26" ht="16.5">
      <c r="C710" s="101"/>
      <c r="D710" s="101"/>
      <c r="E710" s="101"/>
      <c r="F710" s="101"/>
      <c r="G710" s="101"/>
      <c r="H710" s="101"/>
      <c r="I710" s="101"/>
      <c r="J710" s="101"/>
      <c r="S710" s="101"/>
      <c r="T710" s="241"/>
      <c r="U710" s="241"/>
      <c r="V710" s="241"/>
      <c r="W710" s="241"/>
      <c r="X710" s="241"/>
      <c r="Y710" s="241"/>
      <c r="Z710" s="241"/>
    </row>
    <row r="711" spans="3:26" ht="16.5">
      <c r="C711" s="101"/>
      <c r="D711" s="101"/>
      <c r="E711" s="101"/>
      <c r="F711" s="101"/>
      <c r="G711" s="101"/>
      <c r="H711" s="101"/>
      <c r="I711" s="101"/>
      <c r="J711" s="101"/>
      <c r="S711" s="101"/>
      <c r="T711" s="241"/>
      <c r="U711" s="241"/>
      <c r="V711" s="241"/>
      <c r="W711" s="241"/>
      <c r="X711" s="241"/>
      <c r="Y711" s="241"/>
      <c r="Z711" s="241"/>
    </row>
    <row r="712" spans="3:26" ht="16.5">
      <c r="C712" s="101"/>
      <c r="D712" s="101"/>
      <c r="E712" s="101"/>
      <c r="F712" s="101"/>
      <c r="G712" s="101"/>
      <c r="H712" s="101"/>
      <c r="I712" s="101"/>
      <c r="J712" s="101"/>
      <c r="S712" s="101"/>
      <c r="T712" s="241"/>
      <c r="U712" s="241"/>
      <c r="V712" s="241"/>
      <c r="W712" s="241"/>
      <c r="X712" s="241"/>
      <c r="Y712" s="241"/>
      <c r="Z712" s="241"/>
    </row>
    <row r="713" spans="3:26" ht="16.5">
      <c r="C713" s="101"/>
      <c r="D713" s="101"/>
      <c r="E713" s="101"/>
      <c r="F713" s="101"/>
      <c r="G713" s="101"/>
      <c r="H713" s="101"/>
      <c r="I713" s="101"/>
      <c r="J713" s="101"/>
      <c r="S713" s="101"/>
      <c r="T713" s="241"/>
      <c r="U713" s="241"/>
      <c r="V713" s="241"/>
      <c r="W713" s="241"/>
      <c r="X713" s="241"/>
      <c r="Y713" s="241"/>
      <c r="Z713" s="241"/>
    </row>
    <row r="714" spans="3:26" ht="16.5">
      <c r="C714" s="101"/>
      <c r="D714" s="101"/>
      <c r="E714" s="101"/>
      <c r="F714" s="101"/>
      <c r="G714" s="101"/>
      <c r="H714" s="101"/>
      <c r="I714" s="101"/>
      <c r="J714" s="101"/>
      <c r="S714" s="101"/>
      <c r="T714" s="241"/>
      <c r="U714" s="241"/>
      <c r="V714" s="241"/>
      <c r="W714" s="241"/>
      <c r="X714" s="241"/>
      <c r="Y714" s="241"/>
      <c r="Z714" s="241"/>
    </row>
    <row r="715" spans="3:26" ht="16.5">
      <c r="C715" s="101"/>
      <c r="D715" s="101"/>
      <c r="E715" s="101"/>
      <c r="F715" s="101"/>
      <c r="G715" s="101"/>
      <c r="H715" s="101"/>
      <c r="I715" s="101"/>
      <c r="J715" s="101"/>
      <c r="S715" s="101"/>
      <c r="T715" s="241"/>
      <c r="U715" s="241"/>
      <c r="V715" s="241"/>
      <c r="W715" s="241"/>
      <c r="X715" s="241"/>
      <c r="Y715" s="241"/>
      <c r="Z715" s="241"/>
    </row>
    <row r="716" spans="3:26" ht="16.5">
      <c r="C716" s="101"/>
      <c r="D716" s="101"/>
      <c r="E716" s="101"/>
      <c r="F716" s="101"/>
      <c r="G716" s="101"/>
      <c r="H716" s="101"/>
      <c r="I716" s="101"/>
      <c r="J716" s="101"/>
      <c r="S716" s="101"/>
      <c r="T716" s="241"/>
      <c r="U716" s="241"/>
      <c r="V716" s="241"/>
      <c r="W716" s="241"/>
      <c r="X716" s="241"/>
      <c r="Y716" s="241"/>
      <c r="Z716" s="241"/>
    </row>
    <row r="717" spans="3:26" ht="16.5">
      <c r="C717" s="101"/>
      <c r="D717" s="101"/>
      <c r="E717" s="101"/>
      <c r="F717" s="101"/>
      <c r="G717" s="101"/>
      <c r="H717" s="101"/>
      <c r="I717" s="101"/>
      <c r="J717" s="101"/>
      <c r="S717" s="101"/>
      <c r="T717" s="241"/>
      <c r="U717" s="241"/>
      <c r="V717" s="241"/>
      <c r="W717" s="241"/>
      <c r="X717" s="241"/>
      <c r="Y717" s="241"/>
      <c r="Z717" s="241"/>
    </row>
    <row r="718" spans="3:26" ht="16.5">
      <c r="C718" s="101"/>
      <c r="D718" s="101"/>
      <c r="E718" s="101"/>
      <c r="F718" s="101"/>
      <c r="G718" s="101"/>
      <c r="H718" s="101"/>
      <c r="I718" s="101"/>
      <c r="J718" s="101"/>
      <c r="S718" s="101"/>
      <c r="T718" s="241"/>
      <c r="U718" s="241"/>
      <c r="V718" s="241"/>
      <c r="W718" s="241"/>
      <c r="X718" s="241"/>
      <c r="Y718" s="241"/>
      <c r="Z718" s="241"/>
    </row>
    <row r="719" spans="3:26" ht="16.5">
      <c r="C719" s="101"/>
      <c r="D719" s="101"/>
      <c r="E719" s="101"/>
      <c r="F719" s="101"/>
      <c r="G719" s="101"/>
      <c r="H719" s="101"/>
      <c r="I719" s="101"/>
      <c r="J719" s="101"/>
      <c r="S719" s="101"/>
      <c r="T719" s="241"/>
      <c r="U719" s="241"/>
      <c r="V719" s="241"/>
      <c r="W719" s="241"/>
      <c r="X719" s="241"/>
      <c r="Y719" s="241"/>
      <c r="Z719" s="241"/>
    </row>
    <row r="720" spans="3:26" ht="16.5">
      <c r="C720" s="101"/>
      <c r="D720" s="101"/>
      <c r="E720" s="101"/>
      <c r="F720" s="101"/>
      <c r="G720" s="101"/>
      <c r="H720" s="101"/>
      <c r="I720" s="101"/>
      <c r="J720" s="101"/>
      <c r="S720" s="101"/>
      <c r="T720" s="241"/>
      <c r="U720" s="241"/>
      <c r="V720" s="241"/>
      <c r="W720" s="241"/>
      <c r="X720" s="241"/>
      <c r="Y720" s="241"/>
      <c r="Z720" s="241"/>
    </row>
    <row r="721" spans="3:26" ht="16.5">
      <c r="C721" s="101"/>
      <c r="D721" s="101"/>
      <c r="E721" s="101"/>
      <c r="F721" s="101"/>
      <c r="G721" s="101"/>
      <c r="H721" s="101"/>
      <c r="I721" s="101"/>
      <c r="J721" s="101"/>
      <c r="S721" s="101"/>
      <c r="T721" s="241"/>
      <c r="U721" s="241"/>
      <c r="V721" s="241"/>
      <c r="W721" s="241"/>
      <c r="X721" s="241"/>
      <c r="Y721" s="241"/>
      <c r="Z721" s="241"/>
    </row>
    <row r="722" spans="3:26" ht="16.5">
      <c r="C722" s="101"/>
      <c r="D722" s="101"/>
      <c r="E722" s="101"/>
      <c r="F722" s="101"/>
      <c r="G722" s="101"/>
      <c r="H722" s="101"/>
      <c r="I722" s="101"/>
      <c r="J722" s="101"/>
      <c r="S722" s="101"/>
      <c r="T722" s="241"/>
      <c r="U722" s="241"/>
      <c r="V722" s="241"/>
      <c r="W722" s="241"/>
      <c r="X722" s="241"/>
      <c r="Y722" s="241"/>
      <c r="Z722" s="241"/>
    </row>
    <row r="723" spans="3:26" ht="16.5">
      <c r="C723" s="101"/>
      <c r="D723" s="101"/>
      <c r="E723" s="101"/>
      <c r="F723" s="101"/>
      <c r="G723" s="101"/>
      <c r="H723" s="101"/>
      <c r="I723" s="101"/>
      <c r="J723" s="101"/>
      <c r="S723" s="101"/>
      <c r="T723" s="241"/>
      <c r="U723" s="241"/>
      <c r="V723" s="241"/>
      <c r="W723" s="241"/>
      <c r="X723" s="241"/>
      <c r="Y723" s="241"/>
      <c r="Z723" s="241"/>
    </row>
    <row r="724" spans="3:26" ht="16.5">
      <c r="C724" s="101"/>
      <c r="D724" s="101"/>
      <c r="E724" s="101"/>
      <c r="F724" s="101"/>
      <c r="G724" s="101"/>
      <c r="H724" s="101"/>
      <c r="I724" s="101"/>
      <c r="J724" s="101"/>
      <c r="S724" s="101"/>
      <c r="T724" s="241"/>
      <c r="U724" s="241"/>
      <c r="V724" s="241"/>
      <c r="W724" s="241"/>
      <c r="X724" s="241"/>
      <c r="Y724" s="241"/>
      <c r="Z724" s="241"/>
    </row>
    <row r="725" spans="3:26" ht="16.5">
      <c r="C725" s="101"/>
      <c r="D725" s="101"/>
      <c r="E725" s="101"/>
      <c r="F725" s="101"/>
      <c r="G725" s="101"/>
      <c r="H725" s="101"/>
      <c r="I725" s="101"/>
      <c r="J725" s="101"/>
      <c r="S725" s="101"/>
      <c r="T725" s="241"/>
      <c r="U725" s="241"/>
      <c r="V725" s="241"/>
      <c r="W725" s="241"/>
      <c r="X725" s="241"/>
      <c r="Y725" s="241"/>
      <c r="Z725" s="241"/>
    </row>
    <row r="726" spans="3:26" ht="16.5">
      <c r="C726" s="101"/>
      <c r="D726" s="101"/>
      <c r="E726" s="101"/>
      <c r="F726" s="101"/>
      <c r="G726" s="101"/>
      <c r="H726" s="101"/>
      <c r="I726" s="101"/>
      <c r="J726" s="101"/>
      <c r="S726" s="101"/>
      <c r="T726" s="241"/>
      <c r="U726" s="241"/>
      <c r="V726" s="241"/>
      <c r="W726" s="241"/>
      <c r="X726" s="241"/>
      <c r="Y726" s="241"/>
      <c r="Z726" s="241"/>
    </row>
    <row r="727" spans="3:26" ht="16.5">
      <c r="C727" s="101"/>
      <c r="D727" s="101"/>
      <c r="E727" s="101"/>
      <c r="F727" s="101"/>
      <c r="G727" s="101"/>
      <c r="H727" s="101"/>
      <c r="I727" s="101"/>
      <c r="J727" s="101"/>
      <c r="S727" s="101"/>
      <c r="T727" s="241"/>
      <c r="U727" s="241"/>
      <c r="V727" s="241"/>
      <c r="W727" s="241"/>
      <c r="X727" s="241"/>
      <c r="Y727" s="241"/>
      <c r="Z727" s="241"/>
    </row>
    <row r="728" spans="3:26" ht="16.5">
      <c r="C728" s="101"/>
      <c r="D728" s="101"/>
      <c r="E728" s="101"/>
      <c r="F728" s="101"/>
      <c r="G728" s="101"/>
      <c r="H728" s="101"/>
      <c r="I728" s="101"/>
      <c r="J728" s="101"/>
      <c r="S728" s="101"/>
      <c r="T728" s="241"/>
      <c r="U728" s="241"/>
      <c r="V728" s="241"/>
      <c r="W728" s="241"/>
      <c r="X728" s="241"/>
      <c r="Y728" s="241"/>
      <c r="Z728" s="241"/>
    </row>
    <row r="729" spans="3:26" ht="16.5">
      <c r="C729" s="101"/>
      <c r="D729" s="101"/>
      <c r="E729" s="101"/>
      <c r="F729" s="101"/>
      <c r="G729" s="101"/>
      <c r="H729" s="101"/>
      <c r="I729" s="101"/>
      <c r="J729" s="101"/>
      <c r="S729" s="101"/>
      <c r="T729" s="241"/>
      <c r="U729" s="241"/>
      <c r="V729" s="241"/>
      <c r="W729" s="241"/>
      <c r="X729" s="241"/>
      <c r="Y729" s="241"/>
      <c r="Z729" s="241"/>
    </row>
    <row r="730" spans="3:26" ht="16.5">
      <c r="C730" s="101"/>
      <c r="D730" s="101"/>
      <c r="E730" s="101"/>
      <c r="F730" s="101"/>
      <c r="G730" s="101"/>
      <c r="H730" s="101"/>
      <c r="I730" s="101"/>
      <c r="J730" s="101"/>
      <c r="S730" s="101"/>
      <c r="T730" s="241"/>
      <c r="U730" s="241"/>
      <c r="V730" s="241"/>
      <c r="W730" s="241"/>
      <c r="X730" s="241"/>
      <c r="Y730" s="241"/>
      <c r="Z730" s="241"/>
    </row>
    <row r="731" spans="3:26" ht="16.5">
      <c r="C731" s="101"/>
      <c r="D731" s="101"/>
      <c r="E731" s="101"/>
      <c r="F731" s="101"/>
      <c r="G731" s="101"/>
      <c r="H731" s="101"/>
      <c r="I731" s="101"/>
      <c r="J731" s="101"/>
      <c r="S731" s="101"/>
      <c r="T731" s="241"/>
      <c r="U731" s="241"/>
      <c r="V731" s="241"/>
      <c r="W731" s="241"/>
      <c r="X731" s="241"/>
      <c r="Y731" s="241"/>
      <c r="Z731" s="241"/>
    </row>
    <row r="732" spans="3:26" ht="16.5">
      <c r="C732" s="101"/>
      <c r="D732" s="101"/>
      <c r="E732" s="101"/>
      <c r="F732" s="101"/>
      <c r="G732" s="101"/>
      <c r="H732" s="101"/>
      <c r="I732" s="101"/>
      <c r="J732" s="101"/>
      <c r="S732" s="101"/>
      <c r="T732" s="241"/>
      <c r="U732" s="241"/>
      <c r="V732" s="241"/>
      <c r="W732" s="241"/>
      <c r="X732" s="241"/>
      <c r="Y732" s="241"/>
      <c r="Z732" s="241"/>
    </row>
    <row r="733" spans="3:26" ht="16.5">
      <c r="C733" s="101"/>
      <c r="D733" s="101"/>
      <c r="E733" s="101"/>
      <c r="F733" s="101"/>
      <c r="G733" s="101"/>
      <c r="H733" s="101"/>
      <c r="I733" s="101"/>
      <c r="J733" s="101"/>
      <c r="S733" s="101"/>
      <c r="T733" s="241"/>
      <c r="U733" s="241"/>
      <c r="V733" s="241"/>
      <c r="W733" s="241"/>
      <c r="X733" s="241"/>
      <c r="Y733" s="241"/>
      <c r="Z733" s="241"/>
    </row>
    <row r="734" spans="3:26" ht="16.5">
      <c r="C734" s="101"/>
      <c r="D734" s="101"/>
      <c r="E734" s="101"/>
      <c r="F734" s="101"/>
      <c r="G734" s="101"/>
      <c r="H734" s="101"/>
      <c r="I734" s="101"/>
      <c r="J734" s="101"/>
      <c r="S734" s="101"/>
      <c r="T734" s="241"/>
      <c r="U734" s="241"/>
      <c r="V734" s="241"/>
      <c r="W734" s="241"/>
      <c r="X734" s="241"/>
      <c r="Y734" s="241"/>
      <c r="Z734" s="241"/>
    </row>
    <row r="735" spans="3:26" ht="16.5">
      <c r="C735" s="101"/>
      <c r="D735" s="101"/>
      <c r="E735" s="101"/>
      <c r="F735" s="101"/>
      <c r="G735" s="101"/>
      <c r="H735" s="101"/>
      <c r="I735" s="101"/>
      <c r="J735" s="101"/>
      <c r="S735" s="101"/>
      <c r="T735" s="241"/>
      <c r="U735" s="241"/>
      <c r="V735" s="241"/>
      <c r="W735" s="241"/>
      <c r="X735" s="241"/>
      <c r="Y735" s="241"/>
      <c r="Z735" s="241"/>
    </row>
    <row r="736" spans="3:26" ht="16.5">
      <c r="C736" s="101"/>
      <c r="D736" s="101"/>
      <c r="E736" s="101"/>
      <c r="F736" s="101"/>
      <c r="G736" s="101"/>
      <c r="H736" s="101"/>
      <c r="I736" s="101"/>
      <c r="J736" s="101"/>
      <c r="S736" s="101"/>
      <c r="T736" s="241"/>
      <c r="U736" s="241"/>
      <c r="V736" s="241"/>
      <c r="W736" s="241"/>
      <c r="X736" s="241"/>
      <c r="Y736" s="241"/>
      <c r="Z736" s="241"/>
    </row>
    <row r="737" spans="3:26" ht="16.5">
      <c r="C737" s="101"/>
      <c r="D737" s="101"/>
      <c r="E737" s="101"/>
      <c r="F737" s="101"/>
      <c r="G737" s="101"/>
      <c r="H737" s="101"/>
      <c r="I737" s="101"/>
      <c r="J737" s="101"/>
      <c r="S737" s="101"/>
      <c r="T737" s="241"/>
      <c r="U737" s="241"/>
      <c r="V737" s="241"/>
      <c r="W737" s="241"/>
      <c r="X737" s="241"/>
      <c r="Y737" s="241"/>
      <c r="Z737" s="241"/>
    </row>
    <row r="738" spans="3:26" ht="16.5">
      <c r="C738" s="101"/>
      <c r="D738" s="101"/>
      <c r="E738" s="101"/>
      <c r="F738" s="101"/>
      <c r="G738" s="101"/>
      <c r="H738" s="101"/>
      <c r="I738" s="101"/>
      <c r="J738" s="101"/>
      <c r="S738" s="101"/>
      <c r="T738" s="241"/>
      <c r="U738" s="241"/>
      <c r="V738" s="241"/>
      <c r="W738" s="241"/>
      <c r="X738" s="241"/>
      <c r="Y738" s="241"/>
      <c r="Z738" s="241"/>
    </row>
    <row r="739" spans="3:26" ht="16.5">
      <c r="C739" s="101"/>
      <c r="D739" s="101"/>
      <c r="E739" s="101"/>
      <c r="F739" s="101"/>
      <c r="G739" s="101"/>
      <c r="H739" s="101"/>
      <c r="I739" s="101"/>
      <c r="J739" s="101"/>
      <c r="S739" s="101"/>
      <c r="T739" s="241"/>
      <c r="U739" s="241"/>
      <c r="V739" s="241"/>
      <c r="W739" s="241"/>
      <c r="X739" s="241"/>
      <c r="Y739" s="241"/>
      <c r="Z739" s="241"/>
    </row>
    <row r="740" spans="3:26" ht="16.5">
      <c r="C740" s="101"/>
      <c r="D740" s="101"/>
      <c r="E740" s="101"/>
      <c r="F740" s="101"/>
      <c r="G740" s="101"/>
      <c r="H740" s="101"/>
      <c r="I740" s="101"/>
      <c r="J740" s="101"/>
      <c r="S740" s="101"/>
      <c r="T740" s="241"/>
      <c r="U740" s="241"/>
      <c r="V740" s="241"/>
      <c r="W740" s="241"/>
      <c r="X740" s="241"/>
      <c r="Y740" s="241"/>
      <c r="Z740" s="241"/>
    </row>
    <row r="741" spans="3:26" ht="16.5">
      <c r="C741" s="101"/>
      <c r="D741" s="101"/>
      <c r="E741" s="101"/>
      <c r="F741" s="101"/>
      <c r="G741" s="101"/>
      <c r="H741" s="101"/>
      <c r="I741" s="101"/>
      <c r="J741" s="101"/>
      <c r="S741" s="101"/>
      <c r="T741" s="241"/>
      <c r="U741" s="241"/>
      <c r="V741" s="241"/>
      <c r="W741" s="241"/>
      <c r="X741" s="241"/>
      <c r="Y741" s="241"/>
      <c r="Z741" s="241"/>
    </row>
    <row r="742" spans="3:26" ht="16.5">
      <c r="C742" s="101"/>
      <c r="D742" s="101"/>
      <c r="E742" s="101"/>
      <c r="F742" s="101"/>
      <c r="G742" s="101"/>
      <c r="H742" s="101"/>
      <c r="I742" s="101"/>
      <c r="J742" s="101"/>
      <c r="S742" s="101"/>
      <c r="T742" s="241"/>
      <c r="U742" s="241"/>
      <c r="V742" s="241"/>
      <c r="W742" s="241"/>
      <c r="X742" s="241"/>
      <c r="Y742" s="241"/>
      <c r="Z742" s="241"/>
    </row>
    <row r="743" spans="3:26" ht="16.5">
      <c r="C743" s="101"/>
      <c r="D743" s="101"/>
      <c r="E743" s="101"/>
      <c r="F743" s="101"/>
      <c r="G743" s="101"/>
      <c r="H743" s="101"/>
      <c r="I743" s="101"/>
      <c r="J743" s="101"/>
      <c r="S743" s="101"/>
      <c r="T743" s="241"/>
      <c r="U743" s="241"/>
      <c r="V743" s="241"/>
      <c r="W743" s="241"/>
      <c r="X743" s="241"/>
      <c r="Y743" s="241"/>
      <c r="Z743" s="241"/>
    </row>
    <row r="744" spans="3:26" ht="16.5">
      <c r="C744" s="101"/>
      <c r="D744" s="101"/>
      <c r="E744" s="101"/>
      <c r="F744" s="101"/>
      <c r="G744" s="101"/>
      <c r="H744" s="101"/>
      <c r="I744" s="101"/>
      <c r="J744" s="101"/>
      <c r="S744" s="101"/>
      <c r="T744" s="241"/>
      <c r="U744" s="241"/>
      <c r="V744" s="241"/>
      <c r="W744" s="241"/>
      <c r="X744" s="241"/>
      <c r="Y744" s="241"/>
      <c r="Z744" s="241"/>
    </row>
    <row r="745" spans="3:26" ht="16.5">
      <c r="C745" s="101"/>
      <c r="D745" s="101"/>
      <c r="E745" s="101"/>
      <c r="F745" s="101"/>
      <c r="G745" s="101"/>
      <c r="H745" s="101"/>
      <c r="I745" s="101"/>
      <c r="J745" s="101"/>
      <c r="S745" s="101"/>
      <c r="T745" s="241"/>
      <c r="U745" s="241"/>
      <c r="V745" s="241"/>
      <c r="W745" s="241"/>
      <c r="X745" s="241"/>
      <c r="Y745" s="241"/>
      <c r="Z745" s="241"/>
    </row>
    <row r="746" spans="3:26" ht="16.5">
      <c r="C746" s="101"/>
      <c r="D746" s="101"/>
      <c r="E746" s="101"/>
      <c r="F746" s="101"/>
      <c r="G746" s="101"/>
      <c r="H746" s="101"/>
      <c r="I746" s="101"/>
      <c r="J746" s="101"/>
      <c r="S746" s="101"/>
      <c r="T746" s="241"/>
      <c r="U746" s="241"/>
      <c r="V746" s="241"/>
      <c r="W746" s="241"/>
      <c r="X746" s="241"/>
      <c r="Y746" s="241"/>
      <c r="Z746" s="241"/>
    </row>
    <row r="747" spans="3:26" ht="16.5">
      <c r="C747" s="101"/>
      <c r="D747" s="101"/>
      <c r="E747" s="101"/>
      <c r="F747" s="101"/>
      <c r="G747" s="101"/>
      <c r="H747" s="101"/>
      <c r="I747" s="101"/>
      <c r="J747" s="101"/>
      <c r="S747" s="101"/>
      <c r="T747" s="241"/>
      <c r="U747" s="241"/>
      <c r="V747" s="241"/>
      <c r="W747" s="241"/>
      <c r="X747" s="241"/>
      <c r="Y747" s="241"/>
      <c r="Z747" s="241"/>
    </row>
    <row r="748" spans="3:26" ht="16.5">
      <c r="C748" s="101"/>
      <c r="D748" s="101"/>
      <c r="E748" s="101"/>
      <c r="F748" s="101"/>
      <c r="G748" s="101"/>
      <c r="H748" s="101"/>
      <c r="I748" s="101"/>
      <c r="J748" s="101"/>
      <c r="S748" s="101"/>
      <c r="T748" s="241"/>
      <c r="U748" s="241"/>
      <c r="V748" s="241"/>
      <c r="W748" s="241"/>
      <c r="X748" s="241"/>
      <c r="Y748" s="241"/>
      <c r="Z748" s="241"/>
    </row>
    <row r="749" spans="3:26" ht="16.5">
      <c r="C749" s="101"/>
      <c r="D749" s="101"/>
      <c r="E749" s="101"/>
      <c r="F749" s="101"/>
      <c r="G749" s="101"/>
      <c r="H749" s="101"/>
      <c r="I749" s="101"/>
      <c r="J749" s="101"/>
      <c r="S749" s="101"/>
      <c r="T749" s="241"/>
      <c r="U749" s="241"/>
      <c r="V749" s="241"/>
      <c r="W749" s="241"/>
      <c r="X749" s="241"/>
      <c r="Y749" s="241"/>
      <c r="Z749" s="241"/>
    </row>
    <row r="750" spans="3:26" ht="16.5">
      <c r="C750" s="101"/>
      <c r="D750" s="101"/>
      <c r="E750" s="101"/>
      <c r="F750" s="101"/>
      <c r="G750" s="101"/>
      <c r="H750" s="101"/>
      <c r="I750" s="101"/>
      <c r="J750" s="101"/>
      <c r="S750" s="101"/>
      <c r="T750" s="241"/>
      <c r="U750" s="241"/>
      <c r="V750" s="241"/>
      <c r="W750" s="241"/>
      <c r="X750" s="241"/>
      <c r="Y750" s="241"/>
      <c r="Z750" s="241"/>
    </row>
    <row r="751" spans="3:26" ht="16.5">
      <c r="C751" s="101"/>
      <c r="D751" s="101"/>
      <c r="E751" s="101"/>
      <c r="F751" s="101"/>
      <c r="G751" s="101"/>
      <c r="H751" s="101"/>
      <c r="I751" s="101"/>
      <c r="J751" s="101"/>
      <c r="S751" s="101"/>
      <c r="T751" s="241"/>
      <c r="U751" s="241"/>
      <c r="V751" s="241"/>
      <c r="W751" s="241"/>
      <c r="X751" s="241"/>
      <c r="Y751" s="241"/>
      <c r="Z751" s="241"/>
    </row>
    <row r="752" spans="3:26" ht="16.5">
      <c r="C752" s="101"/>
      <c r="D752" s="101"/>
      <c r="E752" s="101"/>
      <c r="F752" s="101"/>
      <c r="G752" s="101"/>
      <c r="H752" s="101"/>
      <c r="I752" s="101"/>
      <c r="J752" s="101"/>
      <c r="S752" s="101"/>
      <c r="T752" s="241"/>
      <c r="U752" s="241"/>
      <c r="V752" s="241"/>
      <c r="W752" s="241"/>
      <c r="X752" s="241"/>
      <c r="Y752" s="241"/>
      <c r="Z752" s="241"/>
    </row>
    <row r="753" spans="3:26" ht="16.5">
      <c r="C753" s="101"/>
      <c r="D753" s="101"/>
      <c r="E753" s="101"/>
      <c r="F753" s="101"/>
      <c r="G753" s="101"/>
      <c r="H753" s="101"/>
      <c r="I753" s="101"/>
      <c r="J753" s="101"/>
      <c r="S753" s="101"/>
      <c r="T753" s="241"/>
      <c r="U753" s="241"/>
      <c r="V753" s="241"/>
      <c r="W753" s="241"/>
      <c r="X753" s="241"/>
      <c r="Y753" s="241"/>
      <c r="Z753" s="241"/>
    </row>
    <row r="754" spans="3:26" ht="16.5">
      <c r="C754" s="101"/>
      <c r="D754" s="101"/>
      <c r="E754" s="101"/>
      <c r="F754" s="101"/>
      <c r="G754" s="101"/>
      <c r="H754" s="101"/>
      <c r="I754" s="101"/>
      <c r="J754" s="101"/>
      <c r="S754" s="101"/>
      <c r="T754" s="241"/>
      <c r="U754" s="241"/>
      <c r="V754" s="241"/>
      <c r="W754" s="241"/>
      <c r="X754" s="241"/>
      <c r="Y754" s="241"/>
      <c r="Z754" s="241"/>
    </row>
    <row r="755" spans="3:26" ht="16.5">
      <c r="C755" s="101"/>
      <c r="D755" s="101"/>
      <c r="E755" s="101"/>
      <c r="F755" s="101"/>
      <c r="G755" s="101"/>
      <c r="H755" s="101"/>
      <c r="I755" s="101"/>
      <c r="J755" s="101"/>
      <c r="S755" s="101"/>
      <c r="T755" s="241"/>
      <c r="U755" s="241"/>
      <c r="V755" s="241"/>
      <c r="W755" s="241"/>
      <c r="X755" s="241"/>
      <c r="Y755" s="241"/>
      <c r="Z755" s="241"/>
    </row>
    <row r="756" spans="3:26" ht="16.5">
      <c r="C756" s="101"/>
      <c r="D756" s="101"/>
      <c r="E756" s="101"/>
      <c r="F756" s="101"/>
      <c r="G756" s="101"/>
      <c r="H756" s="101"/>
      <c r="I756" s="101"/>
      <c r="J756" s="101"/>
      <c r="S756" s="101"/>
      <c r="T756" s="241"/>
      <c r="U756" s="241"/>
      <c r="V756" s="241"/>
      <c r="W756" s="241"/>
      <c r="X756" s="241"/>
      <c r="Y756" s="241"/>
      <c r="Z756" s="241"/>
    </row>
    <row r="757" spans="3:26" ht="16.5">
      <c r="C757" s="101"/>
      <c r="D757" s="101"/>
      <c r="E757" s="101"/>
      <c r="F757" s="101"/>
      <c r="G757" s="101"/>
      <c r="H757" s="101"/>
      <c r="I757" s="101"/>
      <c r="J757" s="101"/>
      <c r="S757" s="101"/>
      <c r="T757" s="241"/>
      <c r="U757" s="241"/>
      <c r="V757" s="241"/>
      <c r="W757" s="241"/>
      <c r="X757" s="241"/>
      <c r="Y757" s="241"/>
      <c r="Z757" s="241"/>
    </row>
    <row r="758" spans="3:26" ht="16.5">
      <c r="C758" s="101"/>
      <c r="D758" s="101"/>
      <c r="E758" s="101"/>
      <c r="F758" s="101"/>
      <c r="G758" s="101"/>
      <c r="H758" s="101"/>
      <c r="I758" s="101"/>
      <c r="J758" s="101"/>
      <c r="S758" s="101"/>
      <c r="T758" s="241"/>
      <c r="U758" s="241"/>
      <c r="V758" s="241"/>
      <c r="W758" s="241"/>
      <c r="X758" s="241"/>
      <c r="Y758" s="241"/>
      <c r="Z758" s="241"/>
    </row>
    <row r="759" spans="3:26" ht="16.5">
      <c r="C759" s="101"/>
      <c r="D759" s="101"/>
      <c r="E759" s="101"/>
      <c r="F759" s="101"/>
      <c r="G759" s="101"/>
      <c r="H759" s="101"/>
      <c r="I759" s="101"/>
      <c r="J759" s="101"/>
      <c r="S759" s="101"/>
      <c r="T759" s="241"/>
      <c r="U759" s="241"/>
      <c r="V759" s="241"/>
      <c r="W759" s="241"/>
      <c r="X759" s="241"/>
      <c r="Y759" s="241"/>
      <c r="Z759" s="241"/>
    </row>
    <row r="760" spans="3:26" ht="16.5">
      <c r="C760" s="101"/>
      <c r="D760" s="101"/>
      <c r="E760" s="101"/>
      <c r="F760" s="101"/>
      <c r="G760" s="101"/>
      <c r="H760" s="101"/>
      <c r="I760" s="101"/>
      <c r="J760" s="101"/>
      <c r="S760" s="101"/>
      <c r="T760" s="241"/>
      <c r="U760" s="241"/>
      <c r="V760" s="241"/>
      <c r="W760" s="241"/>
      <c r="X760" s="241"/>
      <c r="Y760" s="241"/>
      <c r="Z760" s="241"/>
    </row>
    <row r="761" spans="3:26" ht="16.5">
      <c r="C761" s="101"/>
      <c r="D761" s="101"/>
      <c r="E761" s="101"/>
      <c r="F761" s="101"/>
      <c r="G761" s="101"/>
      <c r="H761" s="101"/>
      <c r="I761" s="101"/>
      <c r="J761" s="101"/>
      <c r="S761" s="101"/>
      <c r="T761" s="241"/>
      <c r="U761" s="241"/>
      <c r="V761" s="241"/>
      <c r="W761" s="241"/>
      <c r="X761" s="241"/>
      <c r="Y761" s="241"/>
      <c r="Z761" s="241"/>
    </row>
    <row r="762" spans="3:26" ht="16.5">
      <c r="C762" s="101"/>
      <c r="D762" s="101"/>
      <c r="E762" s="101"/>
      <c r="F762" s="101"/>
      <c r="G762" s="101"/>
      <c r="H762" s="101"/>
      <c r="I762" s="101"/>
      <c r="J762" s="101"/>
      <c r="S762" s="101"/>
      <c r="T762" s="241"/>
      <c r="U762" s="241"/>
      <c r="V762" s="241"/>
      <c r="W762" s="241"/>
      <c r="X762" s="241"/>
      <c r="Y762" s="241"/>
      <c r="Z762" s="241"/>
    </row>
    <row r="763" spans="3:26" ht="16.5">
      <c r="C763" s="101"/>
      <c r="D763" s="101"/>
      <c r="E763" s="101"/>
      <c r="F763" s="101"/>
      <c r="G763" s="101"/>
      <c r="H763" s="101"/>
      <c r="I763" s="101"/>
      <c r="J763" s="101"/>
      <c r="S763" s="101"/>
      <c r="T763" s="241"/>
      <c r="U763" s="241"/>
      <c r="V763" s="241"/>
      <c r="W763" s="241"/>
      <c r="X763" s="241"/>
      <c r="Y763" s="241"/>
      <c r="Z763" s="241"/>
    </row>
    <row r="764" spans="3:26" ht="16.5">
      <c r="C764" s="101"/>
      <c r="D764" s="101"/>
      <c r="E764" s="101"/>
      <c r="F764" s="101"/>
      <c r="G764" s="101"/>
      <c r="H764" s="101"/>
      <c r="I764" s="101"/>
      <c r="J764" s="101"/>
      <c r="S764" s="101"/>
      <c r="T764" s="241"/>
      <c r="U764" s="241"/>
      <c r="V764" s="241"/>
      <c r="W764" s="241"/>
      <c r="X764" s="241"/>
      <c r="Y764" s="241"/>
      <c r="Z764" s="241"/>
    </row>
    <row r="765" spans="3:26" ht="16.5">
      <c r="C765" s="101"/>
      <c r="D765" s="101"/>
      <c r="E765" s="101"/>
      <c r="F765" s="101"/>
      <c r="G765" s="101"/>
      <c r="H765" s="101"/>
      <c r="I765" s="101"/>
      <c r="J765" s="101"/>
      <c r="S765" s="101"/>
      <c r="T765" s="241"/>
      <c r="U765" s="241"/>
      <c r="V765" s="241"/>
      <c r="W765" s="241"/>
      <c r="X765" s="241"/>
      <c r="Y765" s="241"/>
      <c r="Z765" s="241"/>
    </row>
    <row r="766" spans="3:26" ht="16.5">
      <c r="C766" s="101"/>
      <c r="D766" s="101"/>
      <c r="E766" s="101"/>
      <c r="F766" s="101"/>
      <c r="G766" s="101"/>
      <c r="H766" s="101"/>
      <c r="I766" s="101"/>
      <c r="J766" s="101"/>
      <c r="S766" s="101"/>
      <c r="T766" s="241"/>
      <c r="U766" s="241"/>
      <c r="V766" s="241"/>
      <c r="W766" s="241"/>
      <c r="X766" s="241"/>
      <c r="Y766" s="241"/>
      <c r="Z766" s="241"/>
    </row>
    <row r="767" spans="3:26" ht="16.5">
      <c r="C767" s="101"/>
      <c r="D767" s="101"/>
      <c r="E767" s="101"/>
      <c r="F767" s="101"/>
      <c r="G767" s="101"/>
      <c r="H767" s="101"/>
      <c r="I767" s="101"/>
      <c r="J767" s="101"/>
      <c r="S767" s="101"/>
      <c r="T767" s="241"/>
      <c r="U767" s="241"/>
      <c r="V767" s="241"/>
      <c r="W767" s="241"/>
      <c r="X767" s="241"/>
      <c r="Y767" s="241"/>
      <c r="Z767" s="241"/>
    </row>
    <row r="768" spans="3:26" ht="16.5">
      <c r="C768" s="101"/>
      <c r="D768" s="101"/>
      <c r="E768" s="101"/>
      <c r="F768" s="101"/>
      <c r="G768" s="101"/>
      <c r="H768" s="101"/>
      <c r="I768" s="101"/>
      <c r="J768" s="101"/>
      <c r="S768" s="101"/>
      <c r="T768" s="241"/>
      <c r="U768" s="241"/>
      <c r="V768" s="241"/>
      <c r="W768" s="241"/>
      <c r="X768" s="241"/>
      <c r="Y768" s="241"/>
      <c r="Z768" s="241"/>
    </row>
    <row r="769" spans="3:26" ht="16.5">
      <c r="C769" s="101"/>
      <c r="D769" s="101"/>
      <c r="E769" s="101"/>
      <c r="F769" s="101"/>
      <c r="G769" s="101"/>
      <c r="H769" s="101"/>
      <c r="I769" s="101"/>
      <c r="J769" s="101"/>
      <c r="S769" s="101"/>
      <c r="T769" s="241"/>
      <c r="U769" s="241"/>
      <c r="V769" s="241"/>
      <c r="W769" s="241"/>
      <c r="X769" s="241"/>
      <c r="Y769" s="241"/>
      <c r="Z769" s="241"/>
    </row>
    <row r="770" spans="3:26" ht="16.5">
      <c r="C770" s="101"/>
      <c r="D770" s="101"/>
      <c r="E770" s="101"/>
      <c r="F770" s="101"/>
      <c r="G770" s="101"/>
      <c r="H770" s="101"/>
      <c r="I770" s="101"/>
      <c r="J770" s="101"/>
      <c r="S770" s="101"/>
      <c r="T770" s="241"/>
      <c r="U770" s="241"/>
      <c r="V770" s="241"/>
      <c r="W770" s="241"/>
      <c r="X770" s="241"/>
      <c r="Y770" s="241"/>
      <c r="Z770" s="241"/>
    </row>
    <row r="771" spans="3:26" ht="16.5">
      <c r="C771" s="101"/>
      <c r="D771" s="101"/>
      <c r="E771" s="101"/>
      <c r="F771" s="101"/>
      <c r="G771" s="101"/>
      <c r="H771" s="101"/>
      <c r="I771" s="101"/>
      <c r="J771" s="101"/>
      <c r="S771" s="101"/>
      <c r="T771" s="241"/>
      <c r="U771" s="241"/>
      <c r="V771" s="241"/>
      <c r="W771" s="241"/>
      <c r="X771" s="241"/>
      <c r="Y771" s="241"/>
      <c r="Z771" s="241"/>
    </row>
    <row r="772" spans="3:26" ht="16.5">
      <c r="C772" s="101"/>
      <c r="D772" s="101"/>
      <c r="E772" s="101"/>
      <c r="F772" s="101"/>
      <c r="G772" s="101"/>
      <c r="H772" s="101"/>
      <c r="I772" s="101"/>
      <c r="J772" s="101"/>
      <c r="S772" s="101"/>
      <c r="T772" s="241"/>
      <c r="U772" s="241"/>
      <c r="V772" s="241"/>
      <c r="W772" s="241"/>
      <c r="X772" s="241"/>
      <c r="Y772" s="241"/>
      <c r="Z772" s="241"/>
    </row>
    <row r="773" spans="3:26" ht="16.5">
      <c r="C773" s="101"/>
      <c r="D773" s="101"/>
      <c r="E773" s="101"/>
      <c r="F773" s="101"/>
      <c r="G773" s="101"/>
      <c r="H773" s="101"/>
      <c r="I773" s="101"/>
      <c r="J773" s="101"/>
      <c r="S773" s="101"/>
      <c r="T773" s="241"/>
      <c r="U773" s="241"/>
      <c r="V773" s="241"/>
      <c r="W773" s="241"/>
      <c r="X773" s="241"/>
      <c r="Y773" s="241"/>
      <c r="Z773" s="241"/>
    </row>
    <row r="774" spans="3:26" ht="16.5">
      <c r="C774" s="101"/>
      <c r="D774" s="101"/>
      <c r="E774" s="101"/>
      <c r="F774" s="101"/>
      <c r="G774" s="101"/>
      <c r="H774" s="101"/>
      <c r="I774" s="101"/>
      <c r="J774" s="101"/>
      <c r="S774" s="101"/>
      <c r="T774" s="241"/>
      <c r="U774" s="241"/>
      <c r="V774" s="241"/>
      <c r="W774" s="241"/>
      <c r="X774" s="241"/>
      <c r="Y774" s="241"/>
      <c r="Z774" s="241"/>
    </row>
    <row r="775" spans="3:26" ht="16.5">
      <c r="C775" s="101"/>
      <c r="D775" s="101"/>
      <c r="E775" s="101"/>
      <c r="F775" s="101"/>
      <c r="G775" s="101"/>
      <c r="H775" s="101"/>
      <c r="I775" s="101"/>
      <c r="J775" s="101"/>
      <c r="S775" s="101"/>
      <c r="T775" s="241"/>
      <c r="U775" s="241"/>
      <c r="V775" s="241"/>
      <c r="W775" s="241"/>
      <c r="X775" s="241"/>
      <c r="Y775" s="241"/>
      <c r="Z775" s="241"/>
    </row>
    <row r="776" spans="3:26" ht="16.5">
      <c r="C776" s="101"/>
      <c r="D776" s="101"/>
      <c r="E776" s="101"/>
      <c r="F776" s="101"/>
      <c r="G776" s="101"/>
      <c r="H776" s="101"/>
      <c r="I776" s="101"/>
      <c r="J776" s="101"/>
      <c r="S776" s="101"/>
      <c r="T776" s="241"/>
      <c r="U776" s="241"/>
      <c r="V776" s="241"/>
      <c r="W776" s="241"/>
      <c r="X776" s="241"/>
      <c r="Y776" s="241"/>
      <c r="Z776" s="241"/>
    </row>
    <row r="777" spans="3:26" ht="16.5">
      <c r="C777" s="101"/>
      <c r="D777" s="101"/>
      <c r="E777" s="101"/>
      <c r="F777" s="101"/>
      <c r="G777" s="101"/>
      <c r="H777" s="101"/>
      <c r="I777" s="101"/>
      <c r="J777" s="101"/>
      <c r="S777" s="101"/>
      <c r="T777" s="241"/>
      <c r="U777" s="241"/>
      <c r="V777" s="241"/>
      <c r="W777" s="241"/>
      <c r="X777" s="241"/>
      <c r="Y777" s="241"/>
      <c r="Z777" s="241"/>
    </row>
    <row r="778" spans="3:26" ht="16.5">
      <c r="C778" s="101"/>
      <c r="D778" s="101"/>
      <c r="E778" s="101"/>
      <c r="F778" s="101"/>
      <c r="G778" s="101"/>
      <c r="H778" s="101"/>
      <c r="I778" s="101"/>
      <c r="J778" s="101"/>
      <c r="S778" s="101"/>
      <c r="T778" s="241"/>
      <c r="U778" s="241"/>
      <c r="V778" s="241"/>
      <c r="W778" s="241"/>
      <c r="X778" s="241"/>
      <c r="Y778" s="241"/>
      <c r="Z778" s="241"/>
    </row>
    <row r="779" spans="3:26" ht="16.5">
      <c r="C779" s="101"/>
      <c r="D779" s="101"/>
      <c r="E779" s="101"/>
      <c r="F779" s="101"/>
      <c r="G779" s="101"/>
      <c r="H779" s="101"/>
      <c r="I779" s="101"/>
      <c r="J779" s="101"/>
      <c r="S779" s="101"/>
      <c r="T779" s="241"/>
      <c r="U779" s="241"/>
      <c r="V779" s="241"/>
      <c r="W779" s="241"/>
      <c r="X779" s="241"/>
      <c r="Y779" s="241"/>
      <c r="Z779" s="241"/>
    </row>
    <row r="780" spans="3:26" ht="16.5">
      <c r="C780" s="101"/>
      <c r="D780" s="101"/>
      <c r="E780" s="101"/>
      <c r="F780" s="101"/>
      <c r="G780" s="101"/>
      <c r="H780" s="101"/>
      <c r="I780" s="101"/>
      <c r="J780" s="101"/>
      <c r="S780" s="101"/>
      <c r="T780" s="241"/>
      <c r="U780" s="241"/>
      <c r="V780" s="241"/>
      <c r="W780" s="241"/>
      <c r="X780" s="241"/>
      <c r="Y780" s="241"/>
      <c r="Z780" s="241"/>
    </row>
    <row r="781" spans="3:26" ht="16.5">
      <c r="C781" s="101"/>
      <c r="D781" s="101"/>
      <c r="E781" s="101"/>
      <c r="F781" s="101"/>
      <c r="G781" s="101"/>
      <c r="H781" s="101"/>
      <c r="I781" s="101"/>
      <c r="J781" s="101"/>
      <c r="S781" s="101"/>
      <c r="T781" s="241"/>
      <c r="U781" s="241"/>
      <c r="V781" s="241"/>
      <c r="W781" s="241"/>
      <c r="X781" s="241"/>
      <c r="Y781" s="241"/>
      <c r="Z781" s="241"/>
    </row>
    <row r="782" spans="3:26" ht="16.5">
      <c r="C782" s="101"/>
      <c r="D782" s="101"/>
      <c r="E782" s="101"/>
      <c r="F782" s="101"/>
      <c r="G782" s="101"/>
      <c r="H782" s="101"/>
      <c r="I782" s="101"/>
      <c r="J782" s="101"/>
      <c r="S782" s="101"/>
      <c r="T782" s="241"/>
      <c r="U782" s="241"/>
      <c r="V782" s="241"/>
      <c r="W782" s="241"/>
      <c r="X782" s="241"/>
      <c r="Y782" s="241"/>
      <c r="Z782" s="241"/>
    </row>
    <row r="783" spans="3:26" ht="16.5">
      <c r="C783" s="101"/>
      <c r="D783" s="101"/>
      <c r="E783" s="101"/>
      <c r="F783" s="101"/>
      <c r="G783" s="101"/>
      <c r="H783" s="101"/>
      <c r="I783" s="101"/>
      <c r="J783" s="101"/>
      <c r="S783" s="101"/>
      <c r="T783" s="241"/>
      <c r="U783" s="241"/>
      <c r="V783" s="241"/>
      <c r="W783" s="241"/>
      <c r="X783" s="241"/>
      <c r="Y783" s="241"/>
      <c r="Z783" s="241"/>
    </row>
    <row r="784" spans="3:26" ht="16.5">
      <c r="C784" s="101"/>
      <c r="D784" s="101"/>
      <c r="E784" s="101"/>
      <c r="F784" s="101"/>
      <c r="G784" s="101"/>
      <c r="H784" s="101"/>
      <c r="I784" s="101"/>
      <c r="J784" s="101"/>
      <c r="S784" s="101"/>
      <c r="T784" s="241"/>
      <c r="U784" s="241"/>
      <c r="V784" s="241"/>
      <c r="W784" s="241"/>
      <c r="X784" s="241"/>
      <c r="Y784" s="241"/>
      <c r="Z784" s="241"/>
    </row>
    <row r="785" spans="3:26" ht="16.5">
      <c r="C785" s="101"/>
      <c r="D785" s="101"/>
      <c r="E785" s="101"/>
      <c r="F785" s="101"/>
      <c r="G785" s="101"/>
      <c r="H785" s="101"/>
      <c r="I785" s="101"/>
      <c r="J785" s="101"/>
      <c r="S785" s="101"/>
      <c r="T785" s="241"/>
      <c r="U785" s="241"/>
      <c r="V785" s="241"/>
      <c r="W785" s="241"/>
      <c r="X785" s="241"/>
      <c r="Y785" s="241"/>
      <c r="Z785" s="241"/>
    </row>
    <row r="786" spans="3:26" ht="16.5">
      <c r="C786" s="101"/>
      <c r="D786" s="101"/>
      <c r="E786" s="101"/>
      <c r="F786" s="101"/>
      <c r="G786" s="101"/>
      <c r="H786" s="101"/>
      <c r="I786" s="101"/>
      <c r="J786" s="101"/>
      <c r="S786" s="101"/>
      <c r="T786" s="241"/>
      <c r="U786" s="241"/>
      <c r="V786" s="241"/>
      <c r="W786" s="241"/>
      <c r="X786" s="241"/>
      <c r="Y786" s="241"/>
      <c r="Z786" s="241"/>
    </row>
    <row r="787" spans="3:26" ht="16.5">
      <c r="C787" s="101"/>
      <c r="D787" s="101"/>
      <c r="E787" s="101"/>
      <c r="F787" s="101"/>
      <c r="G787" s="101"/>
      <c r="H787" s="101"/>
      <c r="I787" s="101"/>
      <c r="J787" s="101"/>
      <c r="S787" s="101"/>
      <c r="T787" s="241"/>
      <c r="U787" s="241"/>
      <c r="V787" s="241"/>
      <c r="W787" s="241"/>
      <c r="X787" s="241"/>
      <c r="Y787" s="241"/>
      <c r="Z787" s="241"/>
    </row>
    <row r="788" spans="3:26" ht="16.5">
      <c r="C788" s="101"/>
      <c r="D788" s="101"/>
      <c r="E788" s="101"/>
      <c r="F788" s="101"/>
      <c r="G788" s="101"/>
      <c r="H788" s="101"/>
      <c r="I788" s="101"/>
      <c r="J788" s="101"/>
      <c r="S788" s="101"/>
      <c r="T788" s="241"/>
      <c r="U788" s="241"/>
      <c r="V788" s="241"/>
      <c r="W788" s="241"/>
      <c r="X788" s="241"/>
      <c r="Y788" s="241"/>
      <c r="Z788" s="241"/>
    </row>
    <row r="789" spans="3:26" ht="16.5">
      <c r="C789" s="101"/>
      <c r="D789" s="101"/>
      <c r="E789" s="101"/>
      <c r="F789" s="101"/>
      <c r="G789" s="101"/>
      <c r="H789" s="101"/>
      <c r="I789" s="101"/>
      <c r="J789" s="101"/>
      <c r="S789" s="101"/>
      <c r="T789" s="241"/>
      <c r="U789" s="241"/>
      <c r="V789" s="241"/>
      <c r="W789" s="241"/>
      <c r="X789" s="241"/>
      <c r="Y789" s="241"/>
      <c r="Z789" s="241"/>
    </row>
    <row r="790" spans="3:26" ht="16.5">
      <c r="C790" s="101"/>
      <c r="D790" s="101"/>
      <c r="E790" s="101"/>
      <c r="F790" s="101"/>
      <c r="G790" s="101"/>
      <c r="H790" s="101"/>
      <c r="I790" s="101"/>
      <c r="J790" s="101"/>
      <c r="S790" s="101"/>
      <c r="T790" s="241"/>
      <c r="U790" s="241"/>
      <c r="V790" s="241"/>
      <c r="W790" s="241"/>
      <c r="X790" s="241"/>
      <c r="Y790" s="241"/>
      <c r="Z790" s="241"/>
    </row>
    <row r="791" spans="3:26" ht="16.5">
      <c r="C791" s="101"/>
      <c r="D791" s="101"/>
      <c r="E791" s="101"/>
      <c r="F791" s="101"/>
      <c r="G791" s="101"/>
      <c r="H791" s="101"/>
      <c r="I791" s="101"/>
      <c r="J791" s="101"/>
      <c r="S791" s="101"/>
      <c r="T791" s="241"/>
      <c r="U791" s="241"/>
      <c r="V791" s="241"/>
      <c r="W791" s="241"/>
      <c r="X791" s="241"/>
      <c r="Y791" s="241"/>
      <c r="Z791" s="241"/>
    </row>
    <row r="792" spans="3:26" ht="16.5">
      <c r="C792" s="101"/>
      <c r="D792" s="101"/>
      <c r="E792" s="101"/>
      <c r="F792" s="101"/>
      <c r="G792" s="101"/>
      <c r="H792" s="101"/>
      <c r="I792" s="101"/>
      <c r="J792" s="101"/>
      <c r="S792" s="101"/>
      <c r="T792" s="241"/>
      <c r="U792" s="241"/>
      <c r="V792" s="241"/>
      <c r="W792" s="241"/>
      <c r="X792" s="241"/>
      <c r="Y792" s="241"/>
      <c r="Z792" s="241"/>
    </row>
    <row r="793" spans="3:26" ht="16.5">
      <c r="C793" s="101"/>
      <c r="D793" s="101"/>
      <c r="E793" s="101"/>
      <c r="F793" s="101"/>
      <c r="G793" s="101"/>
      <c r="H793" s="101"/>
      <c r="I793" s="101"/>
      <c r="J793" s="101"/>
      <c r="S793" s="101"/>
      <c r="T793" s="241"/>
      <c r="U793" s="241"/>
      <c r="V793" s="241"/>
      <c r="W793" s="241"/>
      <c r="X793" s="241"/>
      <c r="Y793" s="241"/>
      <c r="Z793" s="241"/>
    </row>
    <row r="794" spans="3:26" ht="16.5">
      <c r="C794" s="101"/>
      <c r="D794" s="101"/>
      <c r="E794" s="101"/>
      <c r="F794" s="101"/>
      <c r="G794" s="101"/>
      <c r="H794" s="101"/>
      <c r="I794" s="101"/>
      <c r="J794" s="101"/>
      <c r="S794" s="101"/>
      <c r="T794" s="241"/>
      <c r="U794" s="241"/>
      <c r="V794" s="241"/>
      <c r="W794" s="241"/>
      <c r="X794" s="241"/>
      <c r="Y794" s="241"/>
      <c r="Z794" s="241"/>
    </row>
    <row r="795" spans="3:26" ht="16.5">
      <c r="C795" s="101"/>
      <c r="D795" s="101"/>
      <c r="E795" s="101"/>
      <c r="F795" s="101"/>
      <c r="G795" s="101"/>
      <c r="H795" s="101"/>
      <c r="I795" s="101"/>
      <c r="J795" s="101"/>
      <c r="S795" s="101"/>
      <c r="T795" s="241"/>
      <c r="U795" s="241"/>
      <c r="V795" s="241"/>
      <c r="W795" s="241"/>
      <c r="X795" s="241"/>
      <c r="Y795" s="241"/>
      <c r="Z795" s="241"/>
    </row>
    <row r="796" spans="3:26" ht="16.5">
      <c r="C796" s="101"/>
      <c r="D796" s="101"/>
      <c r="E796" s="101"/>
      <c r="F796" s="101"/>
      <c r="G796" s="101"/>
      <c r="H796" s="101"/>
      <c r="I796" s="101"/>
      <c r="J796" s="101"/>
      <c r="S796" s="101"/>
      <c r="T796" s="241"/>
      <c r="U796" s="241"/>
      <c r="V796" s="241"/>
      <c r="W796" s="241"/>
      <c r="X796" s="241"/>
      <c r="Y796" s="241"/>
      <c r="Z796" s="241"/>
    </row>
    <row r="797" spans="3:26" ht="16.5">
      <c r="C797" s="101"/>
      <c r="D797" s="101"/>
      <c r="E797" s="101"/>
      <c r="F797" s="101"/>
      <c r="G797" s="101"/>
      <c r="H797" s="101"/>
      <c r="I797" s="101"/>
      <c r="J797" s="101"/>
      <c r="S797" s="101"/>
      <c r="T797" s="241"/>
      <c r="U797" s="241"/>
      <c r="V797" s="241"/>
      <c r="W797" s="241"/>
      <c r="X797" s="241"/>
      <c r="Y797" s="241"/>
      <c r="Z797" s="241"/>
    </row>
    <row r="798" spans="3:26" ht="16.5">
      <c r="C798" s="101"/>
      <c r="D798" s="101"/>
      <c r="E798" s="101"/>
      <c r="F798" s="101"/>
      <c r="G798" s="101"/>
      <c r="H798" s="101"/>
      <c r="I798" s="101"/>
      <c r="J798" s="101"/>
      <c r="S798" s="101"/>
      <c r="T798" s="241"/>
      <c r="U798" s="241"/>
      <c r="V798" s="241"/>
      <c r="W798" s="241"/>
      <c r="X798" s="241"/>
      <c r="Y798" s="241"/>
      <c r="Z798" s="241"/>
    </row>
    <row r="799" spans="3:26" ht="16.5">
      <c r="C799" s="101"/>
      <c r="D799" s="101"/>
      <c r="E799" s="101"/>
      <c r="F799" s="101"/>
      <c r="G799" s="101"/>
      <c r="H799" s="101"/>
      <c r="I799" s="101"/>
      <c r="J799" s="101"/>
      <c r="S799" s="101"/>
      <c r="T799" s="241"/>
      <c r="U799" s="241"/>
      <c r="V799" s="241"/>
      <c r="W799" s="241"/>
      <c r="X799" s="241"/>
      <c r="Y799" s="241"/>
      <c r="Z799" s="241"/>
    </row>
    <row r="800" spans="3:26" ht="16.5">
      <c r="C800" s="101"/>
      <c r="D800" s="101"/>
      <c r="E800" s="101"/>
      <c r="F800" s="101"/>
      <c r="G800" s="101"/>
      <c r="H800" s="101"/>
      <c r="I800" s="101"/>
      <c r="J800" s="101"/>
      <c r="S800" s="101"/>
      <c r="T800" s="241"/>
      <c r="U800" s="241"/>
      <c r="V800" s="241"/>
      <c r="W800" s="241"/>
      <c r="X800" s="241"/>
      <c r="Y800" s="241"/>
      <c r="Z800" s="241"/>
    </row>
    <row r="801" spans="3:26" ht="16.5">
      <c r="C801" s="101"/>
      <c r="D801" s="101"/>
      <c r="E801" s="101"/>
      <c r="F801" s="101"/>
      <c r="G801" s="101"/>
      <c r="H801" s="101"/>
      <c r="I801" s="101"/>
      <c r="J801" s="101"/>
      <c r="S801" s="101"/>
      <c r="T801" s="241"/>
      <c r="U801" s="241"/>
      <c r="V801" s="241"/>
      <c r="W801" s="241"/>
      <c r="X801" s="241"/>
      <c r="Y801" s="241"/>
      <c r="Z801" s="241"/>
    </row>
    <row r="802" spans="3:26" ht="16.5">
      <c r="C802" s="101"/>
      <c r="D802" s="101"/>
      <c r="E802" s="101"/>
      <c r="F802" s="101"/>
      <c r="G802" s="101"/>
      <c r="H802" s="101"/>
      <c r="I802" s="101"/>
      <c r="J802" s="101"/>
      <c r="S802" s="101"/>
      <c r="T802" s="241"/>
      <c r="U802" s="241"/>
      <c r="V802" s="241"/>
      <c r="W802" s="241"/>
      <c r="X802" s="241"/>
      <c r="Y802" s="241"/>
      <c r="Z802" s="241"/>
    </row>
    <row r="803" spans="3:26" ht="16.5">
      <c r="C803" s="101"/>
      <c r="D803" s="101"/>
      <c r="E803" s="101"/>
      <c r="F803" s="101"/>
      <c r="G803" s="101"/>
      <c r="H803" s="101"/>
      <c r="I803" s="101"/>
      <c r="J803" s="101"/>
      <c r="S803" s="101"/>
      <c r="T803" s="241"/>
      <c r="U803" s="241"/>
      <c r="V803" s="241"/>
      <c r="W803" s="241"/>
      <c r="X803" s="241"/>
      <c r="Y803" s="241"/>
      <c r="Z803" s="241"/>
    </row>
    <row r="804" spans="3:26" ht="16.5">
      <c r="C804" s="101"/>
      <c r="D804" s="101"/>
      <c r="E804" s="101"/>
      <c r="F804" s="101"/>
      <c r="G804" s="101"/>
      <c r="H804" s="101"/>
      <c r="I804" s="101"/>
      <c r="J804" s="101"/>
      <c r="S804" s="101"/>
      <c r="T804" s="241"/>
      <c r="U804" s="241"/>
      <c r="V804" s="241"/>
      <c r="W804" s="241"/>
      <c r="X804" s="241"/>
      <c r="Y804" s="241"/>
      <c r="Z804" s="241"/>
    </row>
    <row r="805" spans="3:26" ht="16.5">
      <c r="C805" s="101"/>
      <c r="D805" s="101"/>
      <c r="E805" s="101"/>
      <c r="F805" s="101"/>
      <c r="G805" s="101"/>
      <c r="H805" s="101"/>
      <c r="I805" s="101"/>
      <c r="J805" s="101"/>
      <c r="S805" s="101"/>
      <c r="T805" s="241"/>
      <c r="U805" s="241"/>
      <c r="V805" s="241"/>
      <c r="W805" s="241"/>
      <c r="X805" s="241"/>
      <c r="Y805" s="241"/>
      <c r="Z805" s="241"/>
    </row>
    <row r="806" spans="3:26" ht="16.5">
      <c r="C806" s="101"/>
      <c r="D806" s="101"/>
      <c r="E806" s="101"/>
      <c r="F806" s="101"/>
      <c r="G806" s="101"/>
      <c r="H806" s="101"/>
      <c r="I806" s="101"/>
      <c r="J806" s="101"/>
      <c r="S806" s="101"/>
      <c r="T806" s="241"/>
      <c r="U806" s="241"/>
      <c r="V806" s="241"/>
      <c r="W806" s="241"/>
      <c r="X806" s="241"/>
      <c r="Y806" s="241"/>
      <c r="Z806" s="241"/>
    </row>
    <row r="807" spans="3:26" ht="16.5">
      <c r="C807" s="101"/>
      <c r="D807" s="101"/>
      <c r="E807" s="101"/>
      <c r="F807" s="101"/>
      <c r="G807" s="101"/>
      <c r="H807" s="101"/>
      <c r="I807" s="101"/>
      <c r="J807" s="101"/>
      <c r="S807" s="101"/>
      <c r="T807" s="241"/>
      <c r="U807" s="241"/>
      <c r="V807" s="241"/>
      <c r="W807" s="241"/>
      <c r="X807" s="241"/>
      <c r="Y807" s="241"/>
      <c r="Z807" s="241"/>
    </row>
    <row r="808" spans="3:26" ht="16.5">
      <c r="C808" s="101"/>
      <c r="D808" s="101"/>
      <c r="E808" s="101"/>
      <c r="F808" s="101"/>
      <c r="G808" s="101"/>
      <c r="H808" s="101"/>
      <c r="I808" s="101"/>
      <c r="J808" s="101"/>
      <c r="S808" s="101"/>
      <c r="T808" s="241"/>
      <c r="U808" s="241"/>
      <c r="V808" s="241"/>
      <c r="W808" s="241"/>
      <c r="X808" s="241"/>
      <c r="Y808" s="241"/>
      <c r="Z808" s="241"/>
    </row>
    <row r="809" spans="3:26" ht="16.5">
      <c r="C809" s="101"/>
      <c r="D809" s="101"/>
      <c r="E809" s="101"/>
      <c r="F809" s="101"/>
      <c r="G809" s="101"/>
      <c r="H809" s="101"/>
      <c r="I809" s="101"/>
      <c r="J809" s="101"/>
      <c r="S809" s="101"/>
      <c r="T809" s="241"/>
      <c r="U809" s="241"/>
      <c r="V809" s="241"/>
      <c r="W809" s="241"/>
      <c r="X809" s="241"/>
      <c r="Y809" s="241"/>
      <c r="Z809" s="241"/>
    </row>
    <row r="810" spans="3:26" ht="16.5">
      <c r="C810" s="101"/>
      <c r="D810" s="101"/>
      <c r="E810" s="101"/>
      <c r="F810" s="101"/>
      <c r="G810" s="101"/>
      <c r="H810" s="101"/>
      <c r="I810" s="101"/>
      <c r="J810" s="101"/>
      <c r="S810" s="101"/>
      <c r="T810" s="241"/>
      <c r="U810" s="241"/>
      <c r="V810" s="241"/>
      <c r="W810" s="241"/>
      <c r="X810" s="241"/>
      <c r="Y810" s="241"/>
      <c r="Z810" s="241"/>
    </row>
    <row r="811" spans="3:26" ht="16.5">
      <c r="C811" s="101"/>
      <c r="D811" s="101"/>
      <c r="E811" s="101"/>
      <c r="F811" s="101"/>
      <c r="G811" s="101"/>
      <c r="H811" s="101"/>
      <c r="I811" s="101"/>
      <c r="J811" s="101"/>
      <c r="S811" s="101"/>
      <c r="T811" s="241"/>
      <c r="U811" s="241"/>
      <c r="V811" s="241"/>
      <c r="W811" s="241"/>
      <c r="X811" s="241"/>
      <c r="Y811" s="241"/>
      <c r="Z811" s="241"/>
    </row>
    <row r="812" spans="3:26" ht="16.5">
      <c r="C812" s="101"/>
      <c r="D812" s="101"/>
      <c r="E812" s="101"/>
      <c r="F812" s="101"/>
      <c r="G812" s="101"/>
      <c r="H812" s="101"/>
      <c r="I812" s="101"/>
      <c r="J812" s="101"/>
      <c r="S812" s="101"/>
      <c r="T812" s="241"/>
      <c r="U812" s="241"/>
      <c r="V812" s="241"/>
      <c r="W812" s="241"/>
      <c r="X812" s="241"/>
      <c r="Y812" s="241"/>
      <c r="Z812" s="241"/>
    </row>
    <row r="813" spans="3:26" ht="16.5">
      <c r="C813" s="101"/>
      <c r="D813" s="101"/>
      <c r="E813" s="101"/>
      <c r="F813" s="101"/>
      <c r="G813" s="101"/>
      <c r="H813" s="101"/>
      <c r="I813" s="101"/>
      <c r="J813" s="101"/>
      <c r="S813" s="101"/>
      <c r="T813" s="241"/>
      <c r="U813" s="241"/>
      <c r="V813" s="241"/>
      <c r="W813" s="241"/>
      <c r="X813" s="241"/>
      <c r="Y813" s="241"/>
      <c r="Z813" s="241"/>
    </row>
    <row r="814" spans="3:26" ht="16.5">
      <c r="C814" s="101"/>
      <c r="D814" s="101"/>
      <c r="E814" s="101"/>
      <c r="F814" s="101"/>
      <c r="G814" s="101"/>
      <c r="H814" s="101"/>
      <c r="I814" s="101"/>
      <c r="J814" s="101"/>
      <c r="S814" s="101"/>
      <c r="T814" s="241"/>
      <c r="U814" s="241"/>
      <c r="V814" s="241"/>
      <c r="W814" s="241"/>
      <c r="X814" s="241"/>
      <c r="Y814" s="241"/>
      <c r="Z814" s="241"/>
    </row>
    <row r="815" spans="3:26" ht="16.5">
      <c r="C815" s="101"/>
      <c r="D815" s="101"/>
      <c r="E815" s="101"/>
      <c r="F815" s="101"/>
      <c r="G815" s="101"/>
      <c r="H815" s="101"/>
      <c r="I815" s="101"/>
      <c r="J815" s="101"/>
      <c r="S815" s="101"/>
      <c r="T815" s="241"/>
      <c r="U815" s="241"/>
      <c r="V815" s="241"/>
      <c r="W815" s="241"/>
      <c r="X815" s="241"/>
      <c r="Y815" s="241"/>
      <c r="Z815" s="241"/>
    </row>
    <row r="816" spans="3:26" ht="16.5">
      <c r="C816" s="101"/>
      <c r="D816" s="101"/>
      <c r="E816" s="101"/>
      <c r="F816" s="101"/>
      <c r="G816" s="101"/>
      <c r="H816" s="101"/>
      <c r="I816" s="101"/>
      <c r="J816" s="101"/>
      <c r="S816" s="101"/>
      <c r="T816" s="241"/>
      <c r="U816" s="241"/>
      <c r="V816" s="241"/>
      <c r="W816" s="241"/>
      <c r="X816" s="241"/>
      <c r="Y816" s="241"/>
      <c r="Z816" s="241"/>
    </row>
    <row r="817" spans="3:26" ht="16.5">
      <c r="C817" s="101"/>
      <c r="D817" s="101"/>
      <c r="E817" s="101"/>
      <c r="F817" s="101"/>
      <c r="G817" s="101"/>
      <c r="H817" s="101"/>
      <c r="I817" s="101"/>
      <c r="J817" s="101"/>
      <c r="S817" s="101"/>
      <c r="T817" s="241"/>
      <c r="U817" s="241"/>
      <c r="V817" s="241"/>
      <c r="W817" s="241"/>
      <c r="X817" s="241"/>
      <c r="Y817" s="241"/>
      <c r="Z817" s="241"/>
    </row>
    <row r="818" spans="3:26" ht="16.5">
      <c r="C818" s="101"/>
      <c r="D818" s="101"/>
      <c r="E818" s="101"/>
      <c r="F818" s="101"/>
      <c r="G818" s="101"/>
      <c r="H818" s="101"/>
      <c r="I818" s="101"/>
      <c r="J818" s="101"/>
      <c r="S818" s="101"/>
      <c r="T818" s="241"/>
      <c r="U818" s="241"/>
      <c r="V818" s="241"/>
      <c r="W818" s="241"/>
      <c r="X818" s="241"/>
      <c r="Y818" s="241"/>
      <c r="Z818" s="241"/>
    </row>
    <row r="819" spans="3:26" ht="16.5">
      <c r="C819" s="101"/>
      <c r="D819" s="101"/>
      <c r="E819" s="101"/>
      <c r="F819" s="101"/>
      <c r="G819" s="101"/>
      <c r="H819" s="101"/>
      <c r="I819" s="101"/>
      <c r="J819" s="101"/>
      <c r="S819" s="101"/>
      <c r="T819" s="241"/>
      <c r="U819" s="241"/>
      <c r="V819" s="241"/>
      <c r="W819" s="241"/>
      <c r="X819" s="241"/>
      <c r="Y819" s="241"/>
      <c r="Z819" s="241"/>
    </row>
    <row r="820" spans="3:26" ht="16.5">
      <c r="C820" s="101"/>
      <c r="D820" s="101"/>
      <c r="E820" s="101"/>
      <c r="F820" s="101"/>
      <c r="G820" s="101"/>
      <c r="H820" s="101"/>
      <c r="I820" s="101"/>
      <c r="J820" s="101"/>
      <c r="S820" s="101"/>
      <c r="T820" s="241"/>
      <c r="U820" s="241"/>
      <c r="V820" s="241"/>
      <c r="W820" s="241"/>
      <c r="X820" s="241"/>
      <c r="Y820" s="241"/>
      <c r="Z820" s="241"/>
    </row>
    <row r="821" spans="3:26" ht="16.5">
      <c r="C821" s="101"/>
      <c r="D821" s="101"/>
      <c r="E821" s="101"/>
      <c r="F821" s="101"/>
      <c r="G821" s="101"/>
      <c r="H821" s="101"/>
      <c r="I821" s="101"/>
      <c r="J821" s="101"/>
      <c r="S821" s="101"/>
      <c r="T821" s="241"/>
      <c r="U821" s="241"/>
      <c r="V821" s="241"/>
      <c r="W821" s="241"/>
      <c r="X821" s="241"/>
      <c r="Y821" s="241"/>
      <c r="Z821" s="241"/>
    </row>
    <row r="822" spans="3:26" ht="16.5">
      <c r="C822" s="101"/>
      <c r="D822" s="101"/>
      <c r="E822" s="101"/>
      <c r="F822" s="101"/>
      <c r="G822" s="101"/>
      <c r="H822" s="101"/>
      <c r="I822" s="101"/>
      <c r="J822" s="101"/>
      <c r="S822" s="101"/>
      <c r="T822" s="241"/>
      <c r="U822" s="241"/>
      <c r="V822" s="241"/>
      <c r="W822" s="241"/>
      <c r="X822" s="241"/>
      <c r="Y822" s="241"/>
      <c r="Z822" s="241"/>
    </row>
    <row r="823" spans="3:26" ht="16.5">
      <c r="C823" s="101"/>
      <c r="D823" s="101"/>
      <c r="E823" s="101"/>
      <c r="F823" s="101"/>
      <c r="G823" s="101"/>
      <c r="H823" s="101"/>
      <c r="I823" s="101"/>
      <c r="J823" s="101"/>
      <c r="S823" s="101"/>
      <c r="T823" s="241"/>
      <c r="U823" s="241"/>
      <c r="V823" s="241"/>
      <c r="W823" s="241"/>
      <c r="X823" s="241"/>
      <c r="Y823" s="241"/>
      <c r="Z823" s="241"/>
    </row>
    <row r="824" spans="3:26" ht="16.5">
      <c r="C824" s="101"/>
      <c r="D824" s="101"/>
      <c r="E824" s="101"/>
      <c r="F824" s="101"/>
      <c r="G824" s="101"/>
      <c r="H824" s="101"/>
      <c r="I824" s="101"/>
      <c r="J824" s="101"/>
      <c r="S824" s="101"/>
      <c r="T824" s="241"/>
      <c r="U824" s="241"/>
      <c r="V824" s="241"/>
      <c r="W824" s="241"/>
      <c r="X824" s="241"/>
      <c r="Y824" s="241"/>
      <c r="Z824" s="241"/>
    </row>
    <row r="825" spans="3:26" ht="16.5">
      <c r="C825" s="101"/>
      <c r="D825" s="101"/>
      <c r="E825" s="101"/>
      <c r="F825" s="101"/>
      <c r="G825" s="101"/>
      <c r="H825" s="101"/>
      <c r="I825" s="101"/>
      <c r="J825" s="101"/>
      <c r="S825" s="101"/>
      <c r="T825" s="241"/>
      <c r="U825" s="241"/>
      <c r="V825" s="241"/>
      <c r="W825" s="241"/>
      <c r="X825" s="241"/>
      <c r="Y825" s="241"/>
      <c r="Z825" s="241"/>
    </row>
    <row r="826" spans="3:26" ht="16.5">
      <c r="C826" s="101"/>
      <c r="D826" s="101"/>
      <c r="E826" s="101"/>
      <c r="F826" s="101"/>
      <c r="G826" s="101"/>
      <c r="H826" s="101"/>
      <c r="I826" s="101"/>
      <c r="J826" s="101"/>
      <c r="S826" s="101"/>
      <c r="T826" s="241"/>
      <c r="U826" s="241"/>
      <c r="V826" s="241"/>
      <c r="W826" s="241"/>
      <c r="X826" s="241"/>
      <c r="Y826" s="241"/>
      <c r="Z826" s="241"/>
    </row>
    <row r="827" spans="3:26" ht="16.5">
      <c r="C827" s="101"/>
      <c r="D827" s="101"/>
      <c r="E827" s="101"/>
      <c r="F827" s="101"/>
      <c r="G827" s="101"/>
      <c r="H827" s="101"/>
      <c r="I827" s="101"/>
      <c r="J827" s="101"/>
      <c r="S827" s="101"/>
      <c r="T827" s="241"/>
      <c r="U827" s="241"/>
      <c r="V827" s="241"/>
      <c r="W827" s="241"/>
      <c r="X827" s="241"/>
      <c r="Y827" s="241"/>
      <c r="Z827" s="241"/>
    </row>
    <row r="828" spans="3:26" ht="16.5">
      <c r="C828" s="101"/>
      <c r="D828" s="101"/>
      <c r="E828" s="101"/>
      <c r="F828" s="101"/>
      <c r="G828" s="101"/>
      <c r="H828" s="101"/>
      <c r="I828" s="101"/>
      <c r="J828" s="101"/>
      <c r="S828" s="101"/>
      <c r="T828" s="241"/>
      <c r="U828" s="241"/>
      <c r="V828" s="241"/>
      <c r="W828" s="241"/>
      <c r="X828" s="241"/>
      <c r="Y828" s="241"/>
      <c r="Z828" s="241"/>
    </row>
    <row r="829" spans="3:26" ht="16.5">
      <c r="C829" s="101"/>
      <c r="D829" s="101"/>
      <c r="E829" s="101"/>
      <c r="F829" s="101"/>
      <c r="G829" s="101"/>
      <c r="H829" s="101"/>
      <c r="I829" s="101"/>
      <c r="J829" s="101"/>
      <c r="S829" s="101"/>
      <c r="T829" s="241"/>
      <c r="U829" s="241"/>
      <c r="V829" s="241"/>
      <c r="W829" s="241"/>
      <c r="X829" s="241"/>
      <c r="Y829" s="241"/>
      <c r="Z829" s="241"/>
    </row>
    <row r="830" spans="3:26" ht="16.5">
      <c r="C830" s="101"/>
      <c r="D830" s="101"/>
      <c r="E830" s="101"/>
      <c r="F830" s="101"/>
      <c r="G830" s="101"/>
      <c r="H830" s="101"/>
      <c r="I830" s="101"/>
      <c r="J830" s="101"/>
      <c r="S830" s="101"/>
      <c r="T830" s="241"/>
      <c r="U830" s="241"/>
      <c r="V830" s="241"/>
      <c r="W830" s="241"/>
      <c r="X830" s="241"/>
      <c r="Y830" s="241"/>
      <c r="Z830" s="241"/>
    </row>
    <row r="831" spans="3:26" ht="16.5">
      <c r="C831" s="101"/>
      <c r="D831" s="101"/>
      <c r="E831" s="101"/>
      <c r="F831" s="101"/>
      <c r="G831" s="101"/>
      <c r="H831" s="101"/>
      <c r="I831" s="101"/>
      <c r="J831" s="101"/>
      <c r="S831" s="101"/>
      <c r="T831" s="241"/>
      <c r="U831" s="241"/>
      <c r="V831" s="241"/>
      <c r="W831" s="241"/>
      <c r="X831" s="241"/>
      <c r="Y831" s="241"/>
      <c r="Z831" s="241"/>
    </row>
    <row r="832" spans="3:26" ht="16.5">
      <c r="C832" s="101"/>
      <c r="D832" s="101"/>
      <c r="E832" s="101"/>
      <c r="F832" s="101"/>
      <c r="G832" s="101"/>
      <c r="H832" s="101"/>
      <c r="I832" s="101"/>
      <c r="J832" s="101"/>
      <c r="S832" s="101"/>
      <c r="T832" s="241"/>
      <c r="U832" s="241"/>
      <c r="V832" s="241"/>
      <c r="W832" s="241"/>
      <c r="X832" s="241"/>
      <c r="Y832" s="241"/>
      <c r="Z832" s="241"/>
    </row>
    <row r="833" spans="3:26" ht="16.5">
      <c r="C833" s="101"/>
      <c r="D833" s="101"/>
      <c r="E833" s="101"/>
      <c r="F833" s="101"/>
      <c r="G833" s="101"/>
      <c r="H833" s="101"/>
      <c r="I833" s="101"/>
      <c r="J833" s="101"/>
      <c r="S833" s="101"/>
      <c r="T833" s="241"/>
      <c r="U833" s="241"/>
      <c r="V833" s="241"/>
      <c r="W833" s="241"/>
      <c r="X833" s="241"/>
      <c r="Y833" s="241"/>
      <c r="Z833" s="241"/>
    </row>
    <row r="834" spans="3:26" ht="16.5">
      <c r="C834" s="101"/>
      <c r="D834" s="101"/>
      <c r="E834" s="101"/>
      <c r="F834" s="101"/>
      <c r="G834" s="101"/>
      <c r="H834" s="101"/>
      <c r="I834" s="101"/>
      <c r="J834" s="101"/>
      <c r="S834" s="101"/>
      <c r="T834" s="241"/>
      <c r="U834" s="241"/>
      <c r="V834" s="241"/>
      <c r="W834" s="241"/>
      <c r="X834" s="241"/>
      <c r="Y834" s="241"/>
      <c r="Z834" s="241"/>
    </row>
    <row r="835" spans="3:26" ht="16.5">
      <c r="C835" s="101"/>
      <c r="D835" s="101"/>
      <c r="E835" s="101"/>
      <c r="F835" s="101"/>
      <c r="G835" s="101"/>
      <c r="H835" s="101"/>
      <c r="I835" s="101"/>
      <c r="J835" s="101"/>
      <c r="S835" s="101"/>
      <c r="T835" s="241"/>
      <c r="U835" s="241"/>
      <c r="V835" s="241"/>
      <c r="W835" s="241"/>
      <c r="X835" s="241"/>
      <c r="Y835" s="241"/>
      <c r="Z835" s="241"/>
    </row>
    <row r="836" spans="3:26" ht="16.5">
      <c r="C836" s="101"/>
      <c r="D836" s="101"/>
      <c r="E836" s="101"/>
      <c r="F836" s="101"/>
      <c r="G836" s="101"/>
      <c r="H836" s="101"/>
      <c r="I836" s="101"/>
      <c r="J836" s="101"/>
      <c r="S836" s="101"/>
      <c r="T836" s="241"/>
      <c r="U836" s="241"/>
      <c r="V836" s="241"/>
      <c r="W836" s="241"/>
      <c r="X836" s="241"/>
      <c r="Y836" s="241"/>
      <c r="Z836" s="241"/>
    </row>
    <row r="837" spans="3:26" ht="16.5">
      <c r="C837" s="101"/>
      <c r="D837" s="101"/>
      <c r="E837" s="101"/>
      <c r="F837" s="101"/>
      <c r="G837" s="101"/>
      <c r="H837" s="101"/>
      <c r="I837" s="101"/>
      <c r="J837" s="101"/>
      <c r="S837" s="101"/>
      <c r="T837" s="241"/>
      <c r="U837" s="241"/>
      <c r="V837" s="241"/>
      <c r="W837" s="241"/>
      <c r="X837" s="241"/>
      <c r="Y837" s="241"/>
      <c r="Z837" s="241"/>
    </row>
    <row r="838" spans="3:26" ht="16.5">
      <c r="C838" s="101"/>
      <c r="D838" s="101"/>
      <c r="E838" s="101"/>
      <c r="F838" s="101"/>
      <c r="G838" s="101"/>
      <c r="H838" s="101"/>
      <c r="I838" s="101"/>
      <c r="J838" s="101"/>
      <c r="S838" s="101"/>
      <c r="T838" s="241"/>
      <c r="U838" s="241"/>
      <c r="V838" s="241"/>
      <c r="W838" s="241"/>
      <c r="X838" s="241"/>
      <c r="Y838" s="241"/>
      <c r="Z838" s="241"/>
    </row>
    <row r="839" spans="3:26" ht="16.5">
      <c r="C839" s="101"/>
      <c r="D839" s="101"/>
      <c r="E839" s="101"/>
      <c r="F839" s="101"/>
      <c r="G839" s="101"/>
      <c r="H839" s="101"/>
      <c r="I839" s="101"/>
      <c r="J839" s="101"/>
      <c r="S839" s="101"/>
      <c r="T839" s="241"/>
      <c r="U839" s="241"/>
      <c r="V839" s="241"/>
      <c r="W839" s="241"/>
      <c r="X839" s="241"/>
      <c r="Y839" s="241"/>
      <c r="Z839" s="241"/>
    </row>
    <row r="840" spans="3:26" ht="16.5">
      <c r="C840" s="101"/>
      <c r="D840" s="101"/>
      <c r="E840" s="101"/>
      <c r="F840" s="101"/>
      <c r="G840" s="101"/>
      <c r="H840" s="101"/>
      <c r="I840" s="101"/>
      <c r="J840" s="101"/>
      <c r="S840" s="101"/>
      <c r="T840" s="241"/>
      <c r="U840" s="241"/>
      <c r="V840" s="241"/>
      <c r="W840" s="241"/>
      <c r="X840" s="241"/>
      <c r="Y840" s="241"/>
      <c r="Z840" s="241"/>
    </row>
    <row r="841" spans="3:26" ht="16.5">
      <c r="C841" s="101"/>
      <c r="D841" s="101"/>
      <c r="E841" s="101"/>
      <c r="F841" s="101"/>
      <c r="G841" s="101"/>
      <c r="H841" s="101"/>
      <c r="I841" s="101"/>
      <c r="J841" s="101"/>
      <c r="S841" s="101"/>
      <c r="T841" s="241"/>
      <c r="U841" s="241"/>
      <c r="V841" s="241"/>
      <c r="W841" s="241"/>
      <c r="X841" s="241"/>
      <c r="Y841" s="241"/>
      <c r="Z841" s="241"/>
    </row>
    <row r="842" spans="3:26" ht="16.5">
      <c r="C842" s="101"/>
      <c r="D842" s="101"/>
      <c r="E842" s="101"/>
      <c r="F842" s="101"/>
      <c r="G842" s="101"/>
      <c r="H842" s="101"/>
      <c r="I842" s="101"/>
      <c r="J842" s="101"/>
      <c r="S842" s="101"/>
      <c r="T842" s="241"/>
      <c r="U842" s="241"/>
      <c r="V842" s="241"/>
      <c r="W842" s="241"/>
      <c r="X842" s="241"/>
      <c r="Y842" s="241"/>
      <c r="Z842" s="241"/>
    </row>
    <row r="843" spans="3:26" ht="16.5">
      <c r="C843" s="101"/>
      <c r="D843" s="101"/>
      <c r="E843" s="101"/>
      <c r="F843" s="101"/>
      <c r="G843" s="101"/>
      <c r="H843" s="101"/>
      <c r="I843" s="101"/>
      <c r="J843" s="101"/>
      <c r="S843" s="101"/>
      <c r="T843" s="241"/>
      <c r="U843" s="241"/>
      <c r="V843" s="241"/>
      <c r="W843" s="241"/>
      <c r="X843" s="241"/>
      <c r="Y843" s="241"/>
      <c r="Z843" s="241"/>
    </row>
    <row r="844" spans="3:26" ht="16.5">
      <c r="C844" s="101"/>
      <c r="D844" s="101"/>
      <c r="E844" s="101"/>
      <c r="F844" s="101"/>
      <c r="G844" s="101"/>
      <c r="H844" s="101"/>
      <c r="I844" s="101"/>
      <c r="J844" s="101"/>
      <c r="S844" s="101"/>
      <c r="T844" s="241"/>
      <c r="U844" s="241"/>
      <c r="V844" s="241"/>
      <c r="W844" s="241"/>
      <c r="X844" s="241"/>
      <c r="Y844" s="241"/>
      <c r="Z844" s="241"/>
    </row>
    <row r="845" spans="3:26" ht="16.5">
      <c r="C845" s="101"/>
      <c r="D845" s="101"/>
      <c r="E845" s="101"/>
      <c r="F845" s="101"/>
      <c r="G845" s="101"/>
      <c r="H845" s="101"/>
      <c r="I845" s="101"/>
      <c r="J845" s="101"/>
      <c r="S845" s="101"/>
      <c r="T845" s="241"/>
      <c r="U845" s="241"/>
      <c r="V845" s="241"/>
      <c r="W845" s="241"/>
      <c r="X845" s="241"/>
      <c r="Y845" s="241"/>
      <c r="Z845" s="241"/>
    </row>
    <row r="846" spans="3:26" ht="16.5">
      <c r="C846" s="101"/>
      <c r="D846" s="101"/>
      <c r="E846" s="101"/>
      <c r="F846" s="101"/>
      <c r="G846" s="101"/>
      <c r="H846" s="101"/>
      <c r="I846" s="101"/>
      <c r="J846" s="101"/>
      <c r="S846" s="101"/>
      <c r="T846" s="241"/>
      <c r="U846" s="241"/>
      <c r="V846" s="241"/>
      <c r="W846" s="241"/>
      <c r="X846" s="241"/>
      <c r="Y846" s="241"/>
      <c r="Z846" s="241"/>
    </row>
    <row r="847" spans="3:26" ht="16.5">
      <c r="C847" s="101"/>
      <c r="D847" s="101"/>
      <c r="E847" s="101"/>
      <c r="F847" s="101"/>
      <c r="G847" s="101"/>
      <c r="H847" s="101"/>
      <c r="I847" s="101"/>
      <c r="J847" s="101"/>
      <c r="S847" s="101"/>
      <c r="T847" s="241"/>
      <c r="U847" s="241"/>
      <c r="V847" s="241"/>
      <c r="W847" s="241"/>
      <c r="X847" s="241"/>
      <c r="Y847" s="241"/>
      <c r="Z847" s="241"/>
    </row>
    <row r="848" spans="3:26" ht="16.5">
      <c r="C848" s="101"/>
      <c r="D848" s="101"/>
      <c r="E848" s="101"/>
      <c r="F848" s="101"/>
      <c r="G848" s="101"/>
      <c r="H848" s="101"/>
      <c r="I848" s="101"/>
      <c r="J848" s="101"/>
      <c r="S848" s="101"/>
      <c r="T848" s="241"/>
      <c r="U848" s="241"/>
      <c r="V848" s="241"/>
      <c r="W848" s="241"/>
      <c r="X848" s="241"/>
      <c r="Y848" s="241"/>
      <c r="Z848" s="241"/>
    </row>
    <row r="849" spans="3:26" ht="16.5">
      <c r="C849" s="101"/>
      <c r="D849" s="101"/>
      <c r="E849" s="101"/>
      <c r="F849" s="101"/>
      <c r="G849" s="101"/>
      <c r="H849" s="101"/>
      <c r="I849" s="101"/>
      <c r="J849" s="101"/>
      <c r="S849" s="101"/>
      <c r="T849" s="241"/>
      <c r="U849" s="241"/>
      <c r="V849" s="241"/>
      <c r="W849" s="241"/>
      <c r="X849" s="241"/>
      <c r="Y849" s="241"/>
      <c r="Z849" s="241"/>
    </row>
    <row r="850" spans="3:26" ht="16.5">
      <c r="C850" s="101"/>
      <c r="D850" s="101"/>
      <c r="E850" s="101"/>
      <c r="F850" s="101"/>
      <c r="G850" s="101"/>
      <c r="H850" s="101"/>
      <c r="I850" s="101"/>
      <c r="J850" s="101"/>
      <c r="S850" s="101"/>
      <c r="T850" s="241"/>
      <c r="U850" s="241"/>
      <c r="V850" s="241"/>
      <c r="W850" s="241"/>
      <c r="X850" s="241"/>
      <c r="Y850" s="241"/>
      <c r="Z850" s="241"/>
    </row>
    <row r="851" spans="3:26" ht="16.5">
      <c r="C851" s="101"/>
      <c r="D851" s="101"/>
      <c r="E851" s="101"/>
      <c r="F851" s="101"/>
      <c r="G851" s="101"/>
      <c r="H851" s="101"/>
      <c r="I851" s="101"/>
      <c r="J851" s="101"/>
      <c r="S851" s="101"/>
      <c r="T851" s="241"/>
      <c r="U851" s="241"/>
      <c r="V851" s="241"/>
      <c r="W851" s="241"/>
      <c r="X851" s="241"/>
      <c r="Y851" s="241"/>
      <c r="Z851" s="241"/>
    </row>
    <row r="852" spans="3:26" ht="16.5">
      <c r="C852" s="101"/>
      <c r="D852" s="101"/>
      <c r="E852" s="101"/>
      <c r="F852" s="101"/>
      <c r="G852" s="101"/>
      <c r="H852" s="101"/>
      <c r="I852" s="101"/>
      <c r="J852" s="101"/>
      <c r="S852" s="101"/>
      <c r="T852" s="241"/>
      <c r="U852" s="241"/>
      <c r="V852" s="241"/>
      <c r="W852" s="241"/>
      <c r="X852" s="241"/>
      <c r="Y852" s="241"/>
      <c r="Z852" s="241"/>
    </row>
    <row r="853" spans="3:26" ht="16.5">
      <c r="C853" s="101"/>
      <c r="D853" s="101"/>
      <c r="E853" s="101"/>
      <c r="F853" s="101"/>
      <c r="G853" s="101"/>
      <c r="H853" s="101"/>
      <c r="I853" s="101"/>
      <c r="J853" s="101"/>
      <c r="S853" s="101"/>
      <c r="T853" s="241"/>
      <c r="U853" s="241"/>
      <c r="V853" s="241"/>
      <c r="W853" s="241"/>
      <c r="X853" s="241"/>
      <c r="Y853" s="241"/>
      <c r="Z853" s="241"/>
    </row>
    <row r="854" spans="3:26" ht="16.5">
      <c r="C854" s="101"/>
      <c r="D854" s="101"/>
      <c r="E854" s="101"/>
      <c r="F854" s="101"/>
      <c r="G854" s="101"/>
      <c r="H854" s="101"/>
      <c r="I854" s="101"/>
      <c r="J854" s="101"/>
      <c r="S854" s="101"/>
      <c r="T854" s="241"/>
      <c r="U854" s="241"/>
      <c r="V854" s="241"/>
      <c r="W854" s="241"/>
      <c r="X854" s="241"/>
      <c r="Y854" s="241"/>
      <c r="Z854" s="241"/>
    </row>
    <row r="855" spans="3:26" ht="16.5">
      <c r="C855" s="101"/>
      <c r="D855" s="101"/>
      <c r="E855" s="101"/>
      <c r="F855" s="101"/>
      <c r="G855" s="101"/>
      <c r="H855" s="101"/>
      <c r="I855" s="101"/>
      <c r="J855" s="101"/>
      <c r="S855" s="101"/>
      <c r="T855" s="241"/>
      <c r="U855" s="241"/>
      <c r="V855" s="241"/>
      <c r="W855" s="241"/>
      <c r="X855" s="241"/>
      <c r="Y855" s="241"/>
      <c r="Z855" s="241"/>
    </row>
    <row r="856" spans="3:26" ht="16.5">
      <c r="C856" s="101"/>
      <c r="D856" s="101"/>
      <c r="E856" s="101"/>
      <c r="F856" s="101"/>
      <c r="G856" s="101"/>
      <c r="H856" s="101"/>
      <c r="I856" s="101"/>
      <c r="J856" s="101"/>
      <c r="S856" s="101"/>
      <c r="T856" s="241"/>
      <c r="U856" s="241"/>
      <c r="V856" s="241"/>
      <c r="W856" s="241"/>
      <c r="X856" s="241"/>
      <c r="Y856" s="241"/>
      <c r="Z856" s="241"/>
    </row>
    <row r="857" spans="3:26" ht="16.5">
      <c r="C857" s="101"/>
      <c r="D857" s="101"/>
      <c r="E857" s="101"/>
      <c r="F857" s="101"/>
      <c r="G857" s="101"/>
      <c r="H857" s="101"/>
      <c r="I857" s="101"/>
      <c r="J857" s="101"/>
      <c r="S857" s="101"/>
      <c r="T857" s="241"/>
      <c r="U857" s="241"/>
      <c r="V857" s="241"/>
      <c r="W857" s="241"/>
      <c r="X857" s="241"/>
      <c r="Y857" s="241"/>
      <c r="Z857" s="241"/>
    </row>
    <row r="858" spans="3:26" ht="16.5">
      <c r="C858" s="101"/>
      <c r="D858" s="101"/>
      <c r="E858" s="101"/>
      <c r="F858" s="101"/>
      <c r="G858" s="101"/>
      <c r="H858" s="101"/>
      <c r="I858" s="101"/>
      <c r="J858" s="101"/>
      <c r="S858" s="101"/>
      <c r="T858" s="241"/>
      <c r="U858" s="241"/>
      <c r="V858" s="241"/>
      <c r="W858" s="241"/>
      <c r="X858" s="241"/>
      <c r="Y858" s="241"/>
      <c r="Z858" s="241"/>
    </row>
    <row r="859" spans="3:26" ht="16.5">
      <c r="C859" s="101"/>
      <c r="D859" s="101"/>
      <c r="E859" s="101"/>
      <c r="F859" s="101"/>
      <c r="G859" s="101"/>
      <c r="H859" s="101"/>
      <c r="I859" s="101"/>
      <c r="J859" s="101"/>
      <c r="S859" s="101"/>
      <c r="T859" s="241"/>
      <c r="U859" s="241"/>
      <c r="V859" s="241"/>
      <c r="W859" s="241"/>
      <c r="X859" s="241"/>
      <c r="Y859" s="241"/>
      <c r="Z859" s="241"/>
    </row>
    <row r="860" spans="3:26" ht="16.5">
      <c r="C860" s="101"/>
      <c r="D860" s="101"/>
      <c r="E860" s="101"/>
      <c r="F860" s="101"/>
      <c r="G860" s="101"/>
      <c r="H860" s="101"/>
      <c r="I860" s="101"/>
      <c r="J860" s="101"/>
      <c r="S860" s="101"/>
      <c r="T860" s="241"/>
      <c r="U860" s="241"/>
      <c r="V860" s="241"/>
      <c r="W860" s="241"/>
      <c r="X860" s="241"/>
      <c r="Y860" s="241"/>
      <c r="Z860" s="241"/>
    </row>
    <row r="861" spans="3:26" ht="16.5">
      <c r="C861" s="101"/>
      <c r="D861" s="101"/>
      <c r="E861" s="101"/>
      <c r="F861" s="101"/>
      <c r="G861" s="101"/>
      <c r="H861" s="101"/>
      <c r="I861" s="101"/>
      <c r="J861" s="101"/>
      <c r="S861" s="101"/>
      <c r="T861" s="241"/>
      <c r="U861" s="241"/>
      <c r="V861" s="241"/>
      <c r="W861" s="241"/>
      <c r="X861" s="241"/>
      <c r="Y861" s="241"/>
      <c r="Z861" s="241"/>
    </row>
    <row r="862" spans="3:26" ht="16.5">
      <c r="C862" s="101"/>
      <c r="D862" s="101"/>
      <c r="E862" s="101"/>
      <c r="F862" s="101"/>
      <c r="G862" s="101"/>
      <c r="H862" s="101"/>
      <c r="I862" s="101"/>
      <c r="J862" s="101"/>
      <c r="S862" s="101"/>
      <c r="T862" s="241"/>
      <c r="U862" s="241"/>
      <c r="V862" s="241"/>
      <c r="W862" s="241"/>
      <c r="X862" s="241"/>
      <c r="Y862" s="241"/>
      <c r="Z862" s="241"/>
    </row>
    <row r="863" spans="3:26" ht="16.5">
      <c r="C863" s="101"/>
      <c r="D863" s="101"/>
      <c r="E863" s="101"/>
      <c r="F863" s="101"/>
      <c r="G863" s="101"/>
      <c r="H863" s="101"/>
      <c r="I863" s="101"/>
      <c r="J863" s="101"/>
      <c r="S863" s="101"/>
      <c r="T863" s="241"/>
      <c r="U863" s="241"/>
      <c r="V863" s="241"/>
      <c r="W863" s="241"/>
      <c r="X863" s="241"/>
      <c r="Y863" s="241"/>
      <c r="Z863" s="241"/>
    </row>
    <row r="864" spans="3:26" ht="16.5">
      <c r="C864" s="101"/>
      <c r="D864" s="101"/>
      <c r="E864" s="101"/>
      <c r="F864" s="101"/>
      <c r="G864" s="101"/>
      <c r="H864" s="101"/>
      <c r="I864" s="101"/>
      <c r="J864" s="101"/>
      <c r="S864" s="101"/>
      <c r="T864" s="241"/>
      <c r="U864" s="241"/>
      <c r="V864" s="241"/>
      <c r="W864" s="241"/>
      <c r="X864" s="241"/>
      <c r="Y864" s="241"/>
      <c r="Z864" s="241"/>
    </row>
    <row r="865" spans="3:26" ht="16.5">
      <c r="C865" s="101"/>
      <c r="D865" s="101"/>
      <c r="E865" s="101"/>
      <c r="F865" s="101"/>
      <c r="G865" s="101"/>
      <c r="H865" s="101"/>
      <c r="I865" s="101"/>
      <c r="J865" s="101"/>
      <c r="S865" s="101"/>
      <c r="T865" s="241"/>
      <c r="U865" s="241"/>
      <c r="V865" s="241"/>
      <c r="W865" s="241"/>
      <c r="X865" s="241"/>
      <c r="Y865" s="241"/>
      <c r="Z865" s="241"/>
    </row>
    <row r="866" spans="3:26" ht="16.5">
      <c r="C866" s="101"/>
      <c r="D866" s="101"/>
      <c r="E866" s="101"/>
      <c r="F866" s="101"/>
      <c r="G866" s="101"/>
      <c r="H866" s="101"/>
      <c r="I866" s="101"/>
      <c r="J866" s="101"/>
      <c r="S866" s="101"/>
      <c r="T866" s="241"/>
      <c r="U866" s="241"/>
      <c r="V866" s="241"/>
      <c r="W866" s="241"/>
      <c r="X866" s="241"/>
      <c r="Y866" s="241"/>
      <c r="Z866" s="241"/>
    </row>
    <row r="867" spans="3:26" ht="16.5">
      <c r="C867" s="101"/>
      <c r="D867" s="101"/>
      <c r="E867" s="101"/>
      <c r="F867" s="101"/>
      <c r="G867" s="101"/>
      <c r="H867" s="101"/>
      <c r="I867" s="101"/>
      <c r="J867" s="101"/>
      <c r="S867" s="101"/>
      <c r="T867" s="241"/>
      <c r="U867" s="241"/>
      <c r="V867" s="241"/>
      <c r="W867" s="241"/>
      <c r="X867" s="241"/>
      <c r="Y867" s="241"/>
      <c r="Z867" s="241"/>
    </row>
    <row r="868" spans="3:26" ht="16.5">
      <c r="C868" s="101"/>
      <c r="D868" s="101"/>
      <c r="E868" s="101"/>
      <c r="F868" s="101"/>
      <c r="G868" s="101"/>
      <c r="H868" s="101"/>
      <c r="I868" s="101"/>
      <c r="J868" s="101"/>
      <c r="S868" s="101"/>
      <c r="T868" s="241"/>
      <c r="U868" s="241"/>
      <c r="V868" s="241"/>
      <c r="W868" s="241"/>
      <c r="X868" s="241"/>
      <c r="Y868" s="241"/>
      <c r="Z868" s="241"/>
    </row>
    <row r="869" spans="3:26" ht="16.5">
      <c r="C869" s="101"/>
      <c r="D869" s="101"/>
      <c r="E869" s="101"/>
      <c r="F869" s="101"/>
      <c r="G869" s="101"/>
      <c r="H869" s="101"/>
      <c r="I869" s="101"/>
      <c r="J869" s="101"/>
      <c r="S869" s="101"/>
      <c r="T869" s="241"/>
      <c r="U869" s="241"/>
      <c r="V869" s="241"/>
      <c r="W869" s="241"/>
      <c r="X869" s="241"/>
      <c r="Y869" s="241"/>
      <c r="Z869" s="241"/>
    </row>
    <row r="870" spans="3:26" ht="16.5">
      <c r="C870" s="101"/>
      <c r="D870" s="101"/>
      <c r="E870" s="101"/>
      <c r="F870" s="101"/>
      <c r="G870" s="101"/>
      <c r="H870" s="101"/>
      <c r="I870" s="101"/>
      <c r="J870" s="101"/>
      <c r="S870" s="101"/>
      <c r="T870" s="241"/>
      <c r="U870" s="241"/>
      <c r="V870" s="241"/>
      <c r="W870" s="241"/>
      <c r="X870" s="241"/>
      <c r="Y870" s="241"/>
      <c r="Z870" s="241"/>
    </row>
    <row r="871" spans="3:26" ht="16.5">
      <c r="C871" s="101"/>
      <c r="D871" s="101"/>
      <c r="E871" s="101"/>
      <c r="F871" s="101"/>
      <c r="G871" s="101"/>
      <c r="H871" s="101"/>
      <c r="I871" s="101"/>
      <c r="J871" s="101"/>
      <c r="S871" s="101"/>
      <c r="T871" s="241"/>
      <c r="U871" s="241"/>
      <c r="V871" s="241"/>
      <c r="W871" s="241"/>
      <c r="X871" s="241"/>
      <c r="Y871" s="241"/>
      <c r="Z871" s="241"/>
    </row>
    <row r="872" spans="3:26" ht="16.5">
      <c r="C872" s="101"/>
      <c r="D872" s="101"/>
      <c r="E872" s="101"/>
      <c r="F872" s="101"/>
      <c r="G872" s="101"/>
      <c r="H872" s="101"/>
      <c r="I872" s="101"/>
      <c r="J872" s="101"/>
      <c r="S872" s="101"/>
      <c r="T872" s="241"/>
      <c r="U872" s="241"/>
      <c r="V872" s="241"/>
      <c r="W872" s="241"/>
      <c r="X872" s="241"/>
      <c r="Y872" s="241"/>
      <c r="Z872" s="241"/>
    </row>
    <row r="873" spans="3:26" ht="16.5">
      <c r="C873" s="101"/>
      <c r="D873" s="101"/>
      <c r="E873" s="101"/>
      <c r="F873" s="101"/>
      <c r="G873" s="101"/>
      <c r="H873" s="101"/>
      <c r="I873" s="101"/>
      <c r="J873" s="101"/>
      <c r="S873" s="101"/>
      <c r="T873" s="241"/>
      <c r="U873" s="241"/>
      <c r="V873" s="241"/>
      <c r="W873" s="241"/>
      <c r="X873" s="241"/>
      <c r="Y873" s="241"/>
      <c r="Z873" s="241"/>
    </row>
    <row r="874" spans="3:26" ht="16.5">
      <c r="C874" s="101"/>
      <c r="D874" s="101"/>
      <c r="E874" s="101"/>
      <c r="F874" s="101"/>
      <c r="G874" s="101"/>
      <c r="H874" s="101"/>
      <c r="I874" s="101"/>
      <c r="J874" s="101"/>
      <c r="S874" s="101"/>
      <c r="T874" s="241"/>
      <c r="U874" s="241"/>
      <c r="V874" s="241"/>
      <c r="W874" s="241"/>
      <c r="X874" s="241"/>
      <c r="Y874" s="241"/>
      <c r="Z874" s="241"/>
    </row>
    <row r="875" spans="3:26" ht="16.5">
      <c r="C875" s="101"/>
      <c r="D875" s="101"/>
      <c r="E875" s="101"/>
      <c r="F875" s="101"/>
      <c r="G875" s="101"/>
      <c r="H875" s="101"/>
      <c r="I875" s="101"/>
      <c r="J875" s="101"/>
      <c r="S875" s="101"/>
      <c r="T875" s="241"/>
      <c r="U875" s="241"/>
      <c r="V875" s="241"/>
      <c r="W875" s="241"/>
      <c r="X875" s="241"/>
      <c r="Y875" s="241"/>
      <c r="Z875" s="241"/>
    </row>
    <row r="876" spans="3:26" ht="16.5">
      <c r="C876" s="101"/>
      <c r="D876" s="101"/>
      <c r="E876" s="101"/>
      <c r="F876" s="101"/>
      <c r="G876" s="101"/>
      <c r="H876" s="101"/>
      <c r="I876" s="101"/>
      <c r="J876" s="101"/>
      <c r="S876" s="101"/>
      <c r="T876" s="241"/>
      <c r="U876" s="241"/>
      <c r="V876" s="241"/>
      <c r="W876" s="241"/>
      <c r="X876" s="241"/>
      <c r="Y876" s="241"/>
      <c r="Z876" s="241"/>
    </row>
    <row r="877" spans="3:26" ht="16.5">
      <c r="C877" s="101"/>
      <c r="D877" s="101"/>
      <c r="E877" s="101"/>
      <c r="F877" s="101"/>
      <c r="G877" s="101"/>
      <c r="H877" s="101"/>
      <c r="I877" s="101"/>
      <c r="J877" s="101"/>
      <c r="S877" s="101"/>
      <c r="T877" s="241"/>
      <c r="U877" s="241"/>
      <c r="V877" s="241"/>
      <c r="W877" s="241"/>
      <c r="X877" s="241"/>
      <c r="Y877" s="241"/>
      <c r="Z877" s="241"/>
    </row>
    <row r="878" spans="3:26" ht="16.5">
      <c r="C878" s="101"/>
      <c r="D878" s="101"/>
      <c r="E878" s="101"/>
      <c r="F878" s="101"/>
      <c r="G878" s="101"/>
      <c r="H878" s="101"/>
      <c r="I878" s="101"/>
      <c r="J878" s="101"/>
      <c r="S878" s="101"/>
      <c r="T878" s="241"/>
      <c r="U878" s="241"/>
      <c r="V878" s="241"/>
      <c r="W878" s="241"/>
      <c r="X878" s="241"/>
      <c r="Y878" s="241"/>
      <c r="Z878" s="241"/>
    </row>
    <row r="879" spans="3:26" ht="16.5">
      <c r="C879" s="101"/>
      <c r="D879" s="101"/>
      <c r="E879" s="101"/>
      <c r="F879" s="101"/>
      <c r="G879" s="101"/>
      <c r="H879" s="101"/>
      <c r="I879" s="101"/>
      <c r="J879" s="101"/>
      <c r="S879" s="101"/>
      <c r="T879" s="241"/>
      <c r="U879" s="241"/>
      <c r="V879" s="241"/>
      <c r="W879" s="241"/>
      <c r="X879" s="241"/>
      <c r="Y879" s="241"/>
      <c r="Z879" s="241"/>
    </row>
    <row r="880" spans="3:26" ht="16.5">
      <c r="C880" s="101"/>
      <c r="D880" s="101"/>
      <c r="E880" s="101"/>
      <c r="F880" s="101"/>
      <c r="G880" s="101"/>
      <c r="H880" s="101"/>
      <c r="I880" s="101"/>
      <c r="J880" s="101"/>
      <c r="S880" s="101"/>
      <c r="T880" s="241"/>
      <c r="U880" s="241"/>
      <c r="V880" s="241"/>
      <c r="W880" s="241"/>
      <c r="X880" s="241"/>
      <c r="Y880" s="241"/>
      <c r="Z880" s="241"/>
    </row>
    <row r="881" spans="3:26" ht="16.5">
      <c r="C881" s="101"/>
      <c r="D881" s="101"/>
      <c r="E881" s="101"/>
      <c r="F881" s="101"/>
      <c r="G881" s="101"/>
      <c r="H881" s="101"/>
      <c r="I881" s="101"/>
      <c r="J881" s="101"/>
      <c r="S881" s="101"/>
      <c r="T881" s="241"/>
      <c r="U881" s="241"/>
      <c r="V881" s="241"/>
      <c r="W881" s="241"/>
      <c r="X881" s="241"/>
      <c r="Y881" s="241"/>
      <c r="Z881" s="241"/>
    </row>
    <row r="882" spans="3:26" ht="16.5">
      <c r="C882" s="101"/>
      <c r="D882" s="101"/>
      <c r="E882" s="101"/>
      <c r="F882" s="101"/>
      <c r="G882" s="101"/>
      <c r="H882" s="101"/>
      <c r="I882" s="101"/>
      <c r="J882" s="101"/>
      <c r="S882" s="101"/>
      <c r="T882" s="241"/>
      <c r="U882" s="241"/>
      <c r="V882" s="241"/>
      <c r="W882" s="241"/>
      <c r="X882" s="241"/>
      <c r="Y882" s="241"/>
      <c r="Z882" s="241"/>
    </row>
    <row r="883" spans="3:26" ht="16.5">
      <c r="C883" s="101"/>
      <c r="D883" s="101"/>
      <c r="E883" s="101"/>
      <c r="F883" s="101"/>
      <c r="G883" s="101"/>
      <c r="H883" s="101"/>
      <c r="I883" s="101"/>
      <c r="J883" s="101"/>
      <c r="S883" s="101"/>
      <c r="T883" s="241"/>
      <c r="U883" s="241"/>
      <c r="V883" s="241"/>
      <c r="W883" s="241"/>
      <c r="X883" s="241"/>
      <c r="Y883" s="241"/>
      <c r="Z883" s="241"/>
    </row>
    <row r="884" spans="3:26" ht="16.5">
      <c r="C884" s="101"/>
      <c r="D884" s="101"/>
      <c r="E884" s="101"/>
      <c r="F884" s="101"/>
      <c r="G884" s="101"/>
      <c r="H884" s="101"/>
      <c r="I884" s="101"/>
      <c r="J884" s="101"/>
      <c r="S884" s="101"/>
      <c r="T884" s="241"/>
      <c r="U884" s="241"/>
      <c r="V884" s="241"/>
      <c r="W884" s="241"/>
      <c r="X884" s="241"/>
      <c r="Y884" s="241"/>
      <c r="Z884" s="241"/>
    </row>
    <row r="885" spans="3:26" ht="16.5">
      <c r="C885" s="101"/>
      <c r="D885" s="101"/>
      <c r="E885" s="101"/>
      <c r="F885" s="101"/>
      <c r="G885" s="101"/>
      <c r="H885" s="101"/>
      <c r="I885" s="101"/>
      <c r="J885" s="101"/>
      <c r="S885" s="101"/>
      <c r="T885" s="241"/>
      <c r="U885" s="241"/>
      <c r="V885" s="241"/>
      <c r="W885" s="241"/>
      <c r="X885" s="241"/>
      <c r="Y885" s="241"/>
      <c r="Z885" s="241"/>
    </row>
    <row r="886" spans="3:26" ht="16.5">
      <c r="C886" s="101"/>
      <c r="D886" s="101"/>
      <c r="E886" s="101"/>
      <c r="F886" s="101"/>
      <c r="G886" s="101"/>
      <c r="H886" s="101"/>
      <c r="I886" s="101"/>
      <c r="J886" s="101"/>
      <c r="S886" s="101"/>
      <c r="T886" s="241"/>
      <c r="U886" s="241"/>
      <c r="V886" s="241"/>
      <c r="W886" s="241"/>
      <c r="X886" s="241"/>
      <c r="Y886" s="241"/>
      <c r="Z886" s="241"/>
    </row>
    <row r="887" spans="3:26" ht="16.5">
      <c r="C887" s="101"/>
      <c r="D887" s="101"/>
      <c r="E887" s="101"/>
      <c r="F887" s="101"/>
      <c r="G887" s="101"/>
      <c r="H887" s="101"/>
      <c r="I887" s="101"/>
      <c r="J887" s="101"/>
      <c r="S887" s="101"/>
      <c r="T887" s="241"/>
      <c r="U887" s="241"/>
      <c r="V887" s="241"/>
      <c r="W887" s="241"/>
      <c r="X887" s="241"/>
      <c r="Y887" s="241"/>
      <c r="Z887" s="241"/>
    </row>
    <row r="888" spans="3:26" ht="16.5">
      <c r="C888" s="101"/>
      <c r="D888" s="101"/>
      <c r="E888" s="101"/>
      <c r="F888" s="101"/>
      <c r="G888" s="101"/>
      <c r="H888" s="101"/>
      <c r="I888" s="101"/>
      <c r="J888" s="101"/>
      <c r="S888" s="101"/>
      <c r="T888" s="241"/>
      <c r="U888" s="241"/>
      <c r="V888" s="241"/>
      <c r="W888" s="241"/>
      <c r="X888" s="241"/>
      <c r="Y888" s="241"/>
      <c r="Z888" s="241"/>
    </row>
    <row r="889" spans="3:26" ht="16.5">
      <c r="C889" s="101"/>
      <c r="D889" s="101"/>
      <c r="E889" s="101"/>
      <c r="F889" s="101"/>
      <c r="G889" s="101"/>
      <c r="H889" s="101"/>
      <c r="I889" s="101"/>
      <c r="J889" s="101"/>
      <c r="S889" s="101"/>
      <c r="T889" s="241"/>
      <c r="U889" s="241"/>
      <c r="V889" s="241"/>
      <c r="W889" s="241"/>
      <c r="X889" s="241"/>
      <c r="Y889" s="241"/>
      <c r="Z889" s="241"/>
    </row>
    <row r="890" spans="3:26" ht="16.5">
      <c r="C890" s="101"/>
      <c r="D890" s="101"/>
      <c r="E890" s="101"/>
      <c r="F890" s="101"/>
      <c r="G890" s="101"/>
      <c r="H890" s="101"/>
      <c r="I890" s="101"/>
      <c r="J890" s="101"/>
      <c r="S890" s="101"/>
      <c r="T890" s="241"/>
      <c r="U890" s="241"/>
      <c r="V890" s="241"/>
      <c r="W890" s="241"/>
      <c r="X890" s="241"/>
      <c r="Y890" s="241"/>
      <c r="Z890" s="241"/>
    </row>
    <row r="891" spans="3:26" ht="16.5">
      <c r="C891" s="101"/>
      <c r="D891" s="101"/>
      <c r="E891" s="101"/>
      <c r="F891" s="101"/>
      <c r="G891" s="101"/>
      <c r="H891" s="101"/>
      <c r="I891" s="101"/>
      <c r="J891" s="101"/>
      <c r="S891" s="101"/>
      <c r="T891" s="241"/>
      <c r="U891" s="241"/>
      <c r="V891" s="241"/>
      <c r="W891" s="241"/>
      <c r="X891" s="241"/>
      <c r="Y891" s="241"/>
      <c r="Z891" s="241"/>
    </row>
    <row r="892" spans="3:26" ht="16.5">
      <c r="C892" s="101"/>
      <c r="D892" s="101"/>
      <c r="E892" s="101"/>
      <c r="F892" s="101"/>
      <c r="G892" s="101"/>
      <c r="H892" s="101"/>
      <c r="I892" s="101"/>
      <c r="J892" s="101"/>
      <c r="S892" s="101"/>
      <c r="T892" s="241"/>
      <c r="U892" s="241"/>
      <c r="V892" s="241"/>
      <c r="W892" s="241"/>
      <c r="X892" s="241"/>
      <c r="Y892" s="241"/>
      <c r="Z892" s="241"/>
    </row>
    <row r="893" spans="3:26" ht="16.5">
      <c r="C893" s="101"/>
      <c r="D893" s="101"/>
      <c r="E893" s="101"/>
      <c r="F893" s="101"/>
      <c r="G893" s="101"/>
      <c r="H893" s="101"/>
      <c r="I893" s="101"/>
      <c r="J893" s="101"/>
      <c r="S893" s="101"/>
      <c r="T893" s="241"/>
      <c r="U893" s="241"/>
      <c r="V893" s="241"/>
      <c r="W893" s="241"/>
      <c r="X893" s="241"/>
      <c r="Y893" s="241"/>
      <c r="Z893" s="241"/>
    </row>
    <row r="894" spans="3:26" ht="16.5">
      <c r="C894" s="101"/>
      <c r="D894" s="101"/>
      <c r="E894" s="101"/>
      <c r="F894" s="101"/>
      <c r="G894" s="101"/>
      <c r="H894" s="101"/>
      <c r="I894" s="101"/>
      <c r="J894" s="101"/>
      <c r="S894" s="101"/>
      <c r="T894" s="241"/>
      <c r="U894" s="241"/>
      <c r="V894" s="241"/>
      <c r="W894" s="241"/>
      <c r="X894" s="241"/>
      <c r="Y894" s="241"/>
      <c r="Z894" s="241"/>
    </row>
    <row r="895" spans="3:26" ht="16.5">
      <c r="C895" s="101"/>
      <c r="D895" s="101"/>
      <c r="E895" s="101"/>
      <c r="F895" s="101"/>
      <c r="G895" s="101"/>
      <c r="H895" s="101"/>
      <c r="I895" s="101"/>
      <c r="J895" s="101"/>
      <c r="S895" s="101"/>
      <c r="T895" s="241"/>
      <c r="U895" s="241"/>
      <c r="V895" s="241"/>
      <c r="W895" s="241"/>
      <c r="X895" s="241"/>
      <c r="Y895" s="241"/>
      <c r="Z895" s="241"/>
    </row>
    <row r="896" spans="3:26" ht="16.5">
      <c r="C896" s="101"/>
      <c r="D896" s="101"/>
      <c r="E896" s="101"/>
      <c r="F896" s="101"/>
      <c r="G896" s="101"/>
      <c r="H896" s="101"/>
      <c r="I896" s="101"/>
      <c r="J896" s="101"/>
      <c r="S896" s="101"/>
      <c r="T896" s="241"/>
      <c r="U896" s="241"/>
      <c r="V896" s="241"/>
      <c r="W896" s="241"/>
      <c r="X896" s="241"/>
      <c r="Y896" s="241"/>
      <c r="Z896" s="241"/>
    </row>
    <row r="897" spans="3:26" ht="16.5">
      <c r="C897" s="101"/>
      <c r="D897" s="101"/>
      <c r="E897" s="101"/>
      <c r="F897" s="101"/>
      <c r="G897" s="101"/>
      <c r="H897" s="101"/>
      <c r="I897" s="101"/>
      <c r="J897" s="101"/>
      <c r="S897" s="101"/>
      <c r="T897" s="241"/>
      <c r="U897" s="241"/>
      <c r="V897" s="241"/>
      <c r="W897" s="241"/>
      <c r="X897" s="241"/>
      <c r="Y897" s="241"/>
      <c r="Z897" s="241"/>
    </row>
    <row r="898" spans="3:26" ht="16.5">
      <c r="C898" s="101"/>
      <c r="D898" s="101"/>
      <c r="E898" s="101"/>
      <c r="F898" s="101"/>
      <c r="G898" s="101"/>
      <c r="H898" s="101"/>
      <c r="I898" s="101"/>
      <c r="J898" s="101"/>
      <c r="S898" s="101"/>
      <c r="T898" s="241"/>
      <c r="U898" s="241"/>
      <c r="V898" s="241"/>
      <c r="W898" s="241"/>
      <c r="X898" s="241"/>
      <c r="Y898" s="241"/>
      <c r="Z898" s="241"/>
    </row>
    <row r="899" spans="3:26" ht="16.5">
      <c r="C899" s="101"/>
      <c r="D899" s="101"/>
      <c r="E899" s="101"/>
      <c r="F899" s="101"/>
      <c r="G899" s="101"/>
      <c r="H899" s="101"/>
      <c r="I899" s="101"/>
      <c r="J899" s="101"/>
      <c r="S899" s="101"/>
      <c r="T899" s="241"/>
      <c r="U899" s="241"/>
      <c r="V899" s="241"/>
      <c r="W899" s="241"/>
      <c r="X899" s="241"/>
      <c r="Y899" s="241"/>
      <c r="Z899" s="241"/>
    </row>
    <row r="900" spans="3:26" ht="16.5">
      <c r="C900" s="101"/>
      <c r="D900" s="101"/>
      <c r="E900" s="101"/>
      <c r="F900" s="101"/>
      <c r="G900" s="101"/>
      <c r="H900" s="101"/>
      <c r="I900" s="101"/>
      <c r="J900" s="101"/>
      <c r="S900" s="101"/>
      <c r="T900" s="241"/>
      <c r="U900" s="241"/>
      <c r="V900" s="241"/>
      <c r="W900" s="241"/>
      <c r="X900" s="241"/>
      <c r="Y900" s="241"/>
      <c r="Z900" s="241"/>
    </row>
    <row r="901" spans="3:26" ht="16.5">
      <c r="C901" s="101"/>
      <c r="D901" s="101"/>
      <c r="E901" s="101"/>
      <c r="F901" s="101"/>
      <c r="G901" s="101"/>
      <c r="H901" s="101"/>
      <c r="I901" s="101"/>
      <c r="J901" s="101"/>
      <c r="S901" s="101"/>
      <c r="T901" s="241"/>
      <c r="U901" s="241"/>
      <c r="V901" s="241"/>
      <c r="W901" s="241"/>
      <c r="X901" s="241"/>
      <c r="Y901" s="241"/>
      <c r="Z901" s="241"/>
    </row>
    <row r="902" spans="3:26" ht="16.5">
      <c r="C902" s="101"/>
      <c r="D902" s="101"/>
      <c r="E902" s="101"/>
      <c r="F902" s="101"/>
      <c r="G902" s="101"/>
      <c r="H902" s="101"/>
      <c r="I902" s="101"/>
      <c r="J902" s="101"/>
      <c r="S902" s="101"/>
      <c r="T902" s="241"/>
      <c r="U902" s="241"/>
      <c r="V902" s="241"/>
      <c r="W902" s="241"/>
      <c r="X902" s="241"/>
      <c r="Y902" s="241"/>
      <c r="Z902" s="241"/>
    </row>
    <row r="903" spans="3:26" ht="16.5">
      <c r="C903" s="101"/>
      <c r="D903" s="101"/>
      <c r="E903" s="101"/>
      <c r="F903" s="101"/>
      <c r="G903" s="101"/>
      <c r="H903" s="101"/>
      <c r="I903" s="101"/>
      <c r="J903" s="101"/>
      <c r="S903" s="101"/>
      <c r="T903" s="241"/>
      <c r="U903" s="241"/>
      <c r="V903" s="241"/>
      <c r="W903" s="241"/>
      <c r="X903" s="241"/>
      <c r="Y903" s="241"/>
      <c r="Z903" s="241"/>
    </row>
    <row r="904" spans="3:26" ht="16.5">
      <c r="C904" s="101"/>
      <c r="D904" s="101"/>
      <c r="E904" s="101"/>
      <c r="F904" s="101"/>
      <c r="G904" s="101"/>
      <c r="H904" s="101"/>
      <c r="I904" s="101"/>
      <c r="J904" s="101"/>
      <c r="S904" s="101"/>
      <c r="T904" s="241"/>
      <c r="U904" s="241"/>
      <c r="V904" s="241"/>
      <c r="W904" s="241"/>
      <c r="X904" s="241"/>
      <c r="Y904" s="241"/>
      <c r="Z904" s="241"/>
    </row>
    <row r="905" spans="3:26" ht="16.5">
      <c r="C905" s="101"/>
      <c r="D905" s="101"/>
      <c r="E905" s="101"/>
      <c r="F905" s="101"/>
      <c r="G905" s="101"/>
      <c r="H905" s="101"/>
      <c r="I905" s="101"/>
      <c r="J905" s="101"/>
      <c r="S905" s="101"/>
      <c r="T905" s="241"/>
      <c r="U905" s="241"/>
      <c r="V905" s="241"/>
      <c r="W905" s="241"/>
      <c r="X905" s="241"/>
      <c r="Y905" s="241"/>
      <c r="Z905" s="241"/>
    </row>
    <row r="906" spans="3:26" ht="16.5">
      <c r="C906" s="101"/>
      <c r="D906" s="101"/>
      <c r="E906" s="101"/>
      <c r="F906" s="101"/>
      <c r="G906" s="101"/>
      <c r="H906" s="101"/>
      <c r="I906" s="101"/>
      <c r="J906" s="101"/>
      <c r="S906" s="101"/>
      <c r="T906" s="241"/>
      <c r="U906" s="241"/>
      <c r="V906" s="241"/>
      <c r="W906" s="241"/>
      <c r="X906" s="241"/>
      <c r="Y906" s="241"/>
      <c r="Z906" s="241"/>
    </row>
    <row r="907" spans="3:26" ht="16.5">
      <c r="C907" s="101"/>
      <c r="D907" s="101"/>
      <c r="E907" s="101"/>
      <c r="F907" s="101"/>
      <c r="G907" s="101"/>
      <c r="H907" s="101"/>
      <c r="I907" s="101"/>
      <c r="J907" s="101"/>
      <c r="S907" s="101"/>
      <c r="T907" s="241"/>
      <c r="U907" s="241"/>
      <c r="V907" s="241"/>
      <c r="W907" s="241"/>
      <c r="X907" s="241"/>
      <c r="Y907" s="241"/>
      <c r="Z907" s="241"/>
    </row>
    <row r="908" spans="3:26" ht="16.5">
      <c r="C908" s="101"/>
      <c r="D908" s="101"/>
      <c r="E908" s="101"/>
      <c r="F908" s="101"/>
      <c r="G908" s="101"/>
      <c r="H908" s="101"/>
      <c r="I908" s="101"/>
      <c r="J908" s="101"/>
      <c r="S908" s="101"/>
      <c r="T908" s="241"/>
      <c r="U908" s="241"/>
      <c r="V908" s="241"/>
      <c r="W908" s="241"/>
      <c r="X908" s="241"/>
      <c r="Y908" s="241"/>
      <c r="Z908" s="241"/>
    </row>
    <row r="909" spans="3:26" ht="16.5">
      <c r="C909" s="101"/>
      <c r="D909" s="101"/>
      <c r="E909" s="101"/>
      <c r="F909" s="101"/>
      <c r="G909" s="101"/>
      <c r="H909" s="101"/>
      <c r="I909" s="101"/>
      <c r="J909" s="101"/>
      <c r="S909" s="101"/>
      <c r="T909" s="241"/>
      <c r="U909" s="241"/>
      <c r="V909" s="241"/>
      <c r="W909" s="241"/>
      <c r="X909" s="241"/>
      <c r="Y909" s="241"/>
      <c r="Z909" s="241"/>
    </row>
    <row r="910" spans="3:26" ht="16.5">
      <c r="C910" s="101"/>
      <c r="D910" s="101"/>
      <c r="E910" s="101"/>
      <c r="F910" s="101"/>
      <c r="G910" s="101"/>
      <c r="H910" s="101"/>
      <c r="I910" s="101"/>
      <c r="J910" s="101"/>
      <c r="S910" s="101"/>
      <c r="T910" s="241"/>
      <c r="U910" s="241"/>
      <c r="V910" s="241"/>
      <c r="W910" s="241"/>
      <c r="X910" s="241"/>
      <c r="Y910" s="241"/>
      <c r="Z910" s="241"/>
    </row>
    <row r="911" spans="3:26" ht="16.5">
      <c r="C911" s="101"/>
      <c r="D911" s="101"/>
      <c r="E911" s="101"/>
      <c r="F911" s="101"/>
      <c r="G911" s="101"/>
      <c r="H911" s="101"/>
      <c r="I911" s="101"/>
      <c r="J911" s="101"/>
      <c r="S911" s="101"/>
      <c r="T911" s="241"/>
      <c r="U911" s="241"/>
      <c r="V911" s="241"/>
      <c r="W911" s="241"/>
      <c r="X911" s="241"/>
      <c r="Y911" s="241"/>
      <c r="Z911" s="241"/>
    </row>
    <row r="912" spans="3:26" ht="16.5">
      <c r="C912" s="101"/>
      <c r="D912" s="101"/>
      <c r="E912" s="101"/>
      <c r="F912" s="101"/>
      <c r="G912" s="101"/>
      <c r="H912" s="101"/>
      <c r="I912" s="101"/>
      <c r="J912" s="101"/>
      <c r="S912" s="101"/>
      <c r="T912" s="241"/>
      <c r="U912" s="241"/>
      <c r="V912" s="241"/>
      <c r="W912" s="241"/>
      <c r="X912" s="241"/>
      <c r="Y912" s="241"/>
      <c r="Z912" s="241"/>
    </row>
    <row r="913" spans="3:26" ht="16.5">
      <c r="C913" s="101"/>
      <c r="D913" s="101"/>
      <c r="E913" s="101"/>
      <c r="F913" s="101"/>
      <c r="G913" s="101"/>
      <c r="H913" s="101"/>
      <c r="I913" s="101"/>
      <c r="J913" s="101"/>
      <c r="S913" s="101"/>
      <c r="T913" s="241"/>
      <c r="U913" s="241"/>
      <c r="V913" s="241"/>
      <c r="W913" s="241"/>
      <c r="X913" s="241"/>
      <c r="Y913" s="241"/>
      <c r="Z913" s="241"/>
    </row>
    <row r="914" spans="3:26" ht="16.5">
      <c r="C914" s="101"/>
      <c r="D914" s="101"/>
      <c r="E914" s="101"/>
      <c r="F914" s="101"/>
      <c r="G914" s="101"/>
      <c r="H914" s="101"/>
      <c r="I914" s="101"/>
      <c r="J914" s="101"/>
      <c r="S914" s="101"/>
      <c r="T914" s="241"/>
      <c r="U914" s="241"/>
      <c r="V914" s="241"/>
      <c r="W914" s="241"/>
      <c r="X914" s="241"/>
      <c r="Y914" s="241"/>
      <c r="Z914" s="241"/>
    </row>
    <row r="915" spans="3:26" ht="16.5">
      <c r="C915" s="101"/>
      <c r="D915" s="101"/>
      <c r="E915" s="101"/>
      <c r="F915" s="101"/>
      <c r="G915" s="101"/>
      <c r="H915" s="101"/>
      <c r="I915" s="101"/>
      <c r="J915" s="101"/>
      <c r="S915" s="101"/>
      <c r="T915" s="241"/>
      <c r="U915" s="241"/>
      <c r="V915" s="241"/>
      <c r="W915" s="241"/>
      <c r="X915" s="241"/>
      <c r="Y915" s="241"/>
      <c r="Z915" s="241"/>
    </row>
    <row r="916" spans="3:26" ht="16.5">
      <c r="C916" s="101"/>
      <c r="D916" s="101"/>
      <c r="E916" s="101"/>
      <c r="F916" s="101"/>
      <c r="G916" s="101"/>
      <c r="H916" s="101"/>
      <c r="I916" s="101"/>
      <c r="J916" s="101"/>
      <c r="S916" s="101"/>
      <c r="T916" s="241"/>
      <c r="U916" s="241"/>
      <c r="V916" s="241"/>
      <c r="W916" s="241"/>
      <c r="X916" s="241"/>
      <c r="Y916" s="241"/>
      <c r="Z916" s="241"/>
    </row>
    <row r="917" spans="3:26" ht="16.5">
      <c r="C917" s="101"/>
      <c r="D917" s="101"/>
      <c r="E917" s="101"/>
      <c r="F917" s="101"/>
      <c r="G917" s="101"/>
      <c r="H917" s="101"/>
      <c r="I917" s="101"/>
      <c r="J917" s="101"/>
      <c r="S917" s="101"/>
      <c r="T917" s="241"/>
      <c r="U917" s="241"/>
      <c r="V917" s="241"/>
      <c r="W917" s="241"/>
      <c r="X917" s="241"/>
      <c r="Y917" s="241"/>
      <c r="Z917" s="241"/>
    </row>
    <row r="918" spans="3:26" ht="16.5">
      <c r="C918" s="101"/>
      <c r="D918" s="101"/>
      <c r="E918" s="101"/>
      <c r="F918" s="101"/>
      <c r="G918" s="101"/>
      <c r="H918" s="101"/>
      <c r="I918" s="101"/>
      <c r="J918" s="101"/>
      <c r="S918" s="101"/>
      <c r="T918" s="241"/>
      <c r="U918" s="241"/>
      <c r="V918" s="241"/>
      <c r="W918" s="241"/>
      <c r="X918" s="241"/>
      <c r="Y918" s="241"/>
      <c r="Z918" s="241"/>
    </row>
    <row r="919" spans="3:26" ht="16.5">
      <c r="C919" s="101"/>
      <c r="D919" s="101"/>
      <c r="E919" s="101"/>
      <c r="F919" s="101"/>
      <c r="G919" s="101"/>
      <c r="H919" s="101"/>
      <c r="I919" s="101"/>
      <c r="J919" s="101"/>
      <c r="S919" s="101"/>
      <c r="T919" s="241"/>
      <c r="U919" s="241"/>
      <c r="V919" s="241"/>
      <c r="W919" s="241"/>
      <c r="X919" s="241"/>
      <c r="Y919" s="241"/>
      <c r="Z919" s="241"/>
    </row>
    <row r="920" spans="3:26" ht="16.5">
      <c r="C920" s="101"/>
      <c r="D920" s="101"/>
      <c r="E920" s="101"/>
      <c r="F920" s="101"/>
      <c r="G920" s="101"/>
      <c r="H920" s="101"/>
      <c r="I920" s="101"/>
      <c r="J920" s="101"/>
      <c r="S920" s="101"/>
      <c r="T920" s="241"/>
      <c r="U920" s="241"/>
      <c r="V920" s="241"/>
      <c r="W920" s="241"/>
      <c r="X920" s="241"/>
      <c r="Y920" s="241"/>
      <c r="Z920" s="241"/>
    </row>
    <row r="921" spans="3:26" ht="16.5">
      <c r="C921" s="101"/>
      <c r="D921" s="101"/>
      <c r="E921" s="101"/>
      <c r="F921" s="101"/>
      <c r="G921" s="101"/>
      <c r="H921" s="101"/>
      <c r="I921" s="101"/>
      <c r="J921" s="101"/>
      <c r="S921" s="101"/>
      <c r="T921" s="241"/>
      <c r="U921" s="241"/>
      <c r="V921" s="241"/>
      <c r="W921" s="241"/>
      <c r="X921" s="241"/>
      <c r="Y921" s="241"/>
      <c r="Z921" s="241"/>
    </row>
    <row r="922" spans="3:26" ht="16.5">
      <c r="C922" s="101"/>
      <c r="D922" s="101"/>
      <c r="E922" s="101"/>
      <c r="F922" s="101"/>
      <c r="G922" s="101"/>
      <c r="H922" s="101"/>
      <c r="I922" s="101"/>
      <c r="J922" s="101"/>
      <c r="S922" s="101"/>
      <c r="T922" s="241"/>
      <c r="U922" s="241"/>
      <c r="V922" s="241"/>
      <c r="W922" s="241"/>
      <c r="X922" s="241"/>
      <c r="Y922" s="241"/>
      <c r="Z922" s="241"/>
    </row>
    <row r="923" spans="3:26" ht="16.5">
      <c r="C923" s="101"/>
      <c r="D923" s="101"/>
      <c r="E923" s="101"/>
      <c r="F923" s="101"/>
      <c r="G923" s="101"/>
      <c r="H923" s="101"/>
      <c r="I923" s="101"/>
      <c r="J923" s="101"/>
      <c r="S923" s="101"/>
      <c r="T923" s="241"/>
      <c r="U923" s="241"/>
      <c r="V923" s="241"/>
      <c r="W923" s="241"/>
      <c r="X923" s="241"/>
      <c r="Y923" s="241"/>
      <c r="Z923" s="241"/>
    </row>
    <row r="924" spans="3:26" ht="16.5">
      <c r="C924" s="101"/>
      <c r="D924" s="101"/>
      <c r="E924" s="101"/>
      <c r="F924" s="101"/>
      <c r="G924" s="101"/>
      <c r="H924" s="101"/>
      <c r="I924" s="101"/>
      <c r="J924" s="101"/>
      <c r="S924" s="101"/>
      <c r="T924" s="241"/>
      <c r="U924" s="241"/>
      <c r="V924" s="241"/>
      <c r="W924" s="241"/>
      <c r="X924" s="241"/>
      <c r="Y924" s="241"/>
      <c r="Z924" s="241"/>
    </row>
    <row r="925" spans="3:26" ht="16.5">
      <c r="C925" s="101"/>
      <c r="D925" s="101"/>
      <c r="E925" s="101"/>
      <c r="F925" s="101"/>
      <c r="G925" s="101"/>
      <c r="H925" s="101"/>
      <c r="I925" s="101"/>
      <c r="J925" s="101"/>
      <c r="S925" s="101"/>
      <c r="T925" s="241"/>
      <c r="U925" s="241"/>
      <c r="V925" s="241"/>
      <c r="W925" s="241"/>
      <c r="X925" s="241"/>
      <c r="Y925" s="241"/>
      <c r="Z925" s="241"/>
    </row>
    <row r="926" spans="3:26" ht="16.5">
      <c r="C926" s="101"/>
      <c r="D926" s="101"/>
      <c r="E926" s="101"/>
      <c r="F926" s="101"/>
      <c r="G926" s="101"/>
      <c r="H926" s="101"/>
      <c r="I926" s="101"/>
      <c r="J926" s="101"/>
      <c r="S926" s="101"/>
      <c r="T926" s="241"/>
      <c r="U926" s="241"/>
      <c r="V926" s="241"/>
      <c r="W926" s="241"/>
      <c r="X926" s="241"/>
      <c r="Y926" s="241"/>
      <c r="Z926" s="241"/>
    </row>
    <row r="927" spans="3:26" ht="16.5">
      <c r="C927" s="101"/>
      <c r="D927" s="101"/>
      <c r="E927" s="101"/>
      <c r="F927" s="101"/>
      <c r="G927" s="101"/>
      <c r="H927" s="101"/>
      <c r="I927" s="101"/>
      <c r="J927" s="101"/>
      <c r="S927" s="101"/>
      <c r="T927" s="241"/>
      <c r="U927" s="241"/>
      <c r="V927" s="241"/>
      <c r="W927" s="241"/>
      <c r="X927" s="241"/>
      <c r="Y927" s="241"/>
      <c r="Z927" s="241"/>
    </row>
    <row r="928" spans="3:26" ht="16.5">
      <c r="C928" s="101"/>
      <c r="D928" s="101"/>
      <c r="E928" s="101"/>
      <c r="F928" s="101"/>
      <c r="G928" s="101"/>
      <c r="H928" s="101"/>
      <c r="I928" s="101"/>
      <c r="J928" s="101"/>
      <c r="S928" s="101"/>
      <c r="T928" s="241"/>
      <c r="U928" s="241"/>
      <c r="V928" s="241"/>
      <c r="W928" s="241"/>
      <c r="X928" s="241"/>
      <c r="Y928" s="241"/>
      <c r="Z928" s="241"/>
    </row>
    <row r="929" spans="3:26" ht="16.5">
      <c r="C929" s="101"/>
      <c r="D929" s="101"/>
      <c r="E929" s="101"/>
      <c r="F929" s="101"/>
      <c r="G929" s="101"/>
      <c r="H929" s="101"/>
      <c r="I929" s="101"/>
      <c r="J929" s="101"/>
      <c r="S929" s="101"/>
      <c r="T929" s="241"/>
      <c r="U929" s="241"/>
      <c r="V929" s="241"/>
      <c r="W929" s="241"/>
      <c r="X929" s="241"/>
      <c r="Y929" s="241"/>
      <c r="Z929" s="241"/>
    </row>
    <row r="930" spans="3:26" ht="16.5">
      <c r="C930" s="101"/>
      <c r="D930" s="101"/>
      <c r="E930" s="101"/>
      <c r="F930" s="101"/>
      <c r="G930" s="101"/>
      <c r="H930" s="101"/>
      <c r="I930" s="101"/>
      <c r="J930" s="101"/>
      <c r="S930" s="101"/>
      <c r="T930" s="241"/>
      <c r="U930" s="241"/>
      <c r="V930" s="241"/>
      <c r="W930" s="241"/>
      <c r="X930" s="241"/>
      <c r="Y930" s="241"/>
      <c r="Z930" s="241"/>
    </row>
    <row r="931" spans="3:26" ht="16.5">
      <c r="C931" s="101"/>
      <c r="D931" s="101"/>
      <c r="E931" s="101"/>
      <c r="F931" s="101"/>
      <c r="G931" s="101"/>
      <c r="H931" s="101"/>
      <c r="I931" s="101"/>
      <c r="J931" s="101"/>
      <c r="S931" s="101"/>
      <c r="T931" s="241"/>
      <c r="U931" s="241"/>
      <c r="V931" s="241"/>
      <c r="W931" s="241"/>
      <c r="X931" s="241"/>
      <c r="Y931" s="241"/>
      <c r="Z931" s="241"/>
    </row>
    <row r="932" spans="3:26" ht="16.5">
      <c r="C932" s="101"/>
      <c r="D932" s="101"/>
      <c r="E932" s="101"/>
      <c r="F932" s="101"/>
      <c r="G932" s="101"/>
      <c r="H932" s="101"/>
      <c r="I932" s="101"/>
      <c r="J932" s="101"/>
      <c r="S932" s="101"/>
      <c r="T932" s="241"/>
      <c r="U932" s="241"/>
      <c r="V932" s="241"/>
      <c r="W932" s="241"/>
      <c r="X932" s="241"/>
      <c r="Y932" s="241"/>
      <c r="Z932" s="241"/>
    </row>
    <row r="933" spans="3:26" ht="16.5">
      <c r="C933" s="101"/>
      <c r="D933" s="101"/>
      <c r="E933" s="101"/>
      <c r="F933" s="101"/>
      <c r="G933" s="101"/>
      <c r="H933" s="101"/>
      <c r="I933" s="101"/>
      <c r="J933" s="101"/>
      <c r="S933" s="101"/>
      <c r="T933" s="241"/>
      <c r="U933" s="241"/>
      <c r="V933" s="241"/>
      <c r="W933" s="241"/>
      <c r="X933" s="241"/>
      <c r="Y933" s="241"/>
      <c r="Z933" s="241"/>
    </row>
    <row r="934" spans="3:26" ht="16.5">
      <c r="C934" s="101"/>
      <c r="D934" s="101"/>
      <c r="E934" s="101"/>
      <c r="F934" s="101"/>
      <c r="G934" s="101"/>
      <c r="H934" s="101"/>
      <c r="I934" s="101"/>
      <c r="J934" s="101"/>
      <c r="S934" s="101"/>
      <c r="T934" s="241"/>
      <c r="U934" s="241"/>
      <c r="V934" s="241"/>
      <c r="W934" s="241"/>
      <c r="X934" s="241"/>
      <c r="Y934" s="241"/>
      <c r="Z934" s="241"/>
    </row>
    <row r="935" spans="3:26" ht="16.5">
      <c r="C935" s="101"/>
      <c r="D935" s="101"/>
      <c r="E935" s="101"/>
      <c r="F935" s="101"/>
      <c r="G935" s="101"/>
      <c r="H935" s="101"/>
      <c r="I935" s="101"/>
      <c r="J935" s="101"/>
      <c r="S935" s="101"/>
      <c r="T935" s="241"/>
      <c r="U935" s="241"/>
      <c r="V935" s="241"/>
      <c r="W935" s="241"/>
      <c r="X935" s="241"/>
      <c r="Y935" s="241"/>
      <c r="Z935" s="241"/>
    </row>
    <row r="936" spans="3:26" ht="16.5">
      <c r="C936" s="101"/>
      <c r="D936" s="101"/>
      <c r="E936" s="101"/>
      <c r="F936" s="101"/>
      <c r="G936" s="101"/>
      <c r="H936" s="101"/>
      <c r="I936" s="101"/>
      <c r="J936" s="101"/>
      <c r="S936" s="101"/>
      <c r="T936" s="241"/>
      <c r="U936" s="241"/>
      <c r="V936" s="241"/>
      <c r="W936" s="241"/>
      <c r="X936" s="241"/>
      <c r="Y936" s="241"/>
      <c r="Z936" s="241"/>
    </row>
    <row r="937" spans="3:26" ht="16.5">
      <c r="C937" s="101"/>
      <c r="D937" s="101"/>
      <c r="E937" s="101"/>
      <c r="F937" s="101"/>
      <c r="G937" s="101"/>
      <c r="H937" s="101"/>
      <c r="I937" s="101"/>
      <c r="J937" s="101"/>
      <c r="S937" s="101"/>
      <c r="T937" s="241"/>
      <c r="U937" s="241"/>
      <c r="V937" s="241"/>
      <c r="W937" s="241"/>
      <c r="X937" s="241"/>
      <c r="Y937" s="241"/>
      <c r="Z937" s="241"/>
    </row>
    <row r="938" spans="3:26" ht="16.5">
      <c r="C938" s="101"/>
      <c r="D938" s="101"/>
      <c r="E938" s="101"/>
      <c r="F938" s="101"/>
      <c r="G938" s="101"/>
      <c r="H938" s="101"/>
      <c r="I938" s="101"/>
      <c r="J938" s="101"/>
      <c r="S938" s="101"/>
      <c r="T938" s="241"/>
      <c r="U938" s="241"/>
      <c r="V938" s="241"/>
      <c r="W938" s="241"/>
      <c r="X938" s="241"/>
      <c r="Y938" s="241"/>
      <c r="Z938" s="241"/>
    </row>
    <row r="939" spans="3:26" ht="16.5">
      <c r="C939" s="101"/>
      <c r="D939" s="101"/>
      <c r="E939" s="101"/>
      <c r="F939" s="101"/>
      <c r="G939" s="101"/>
      <c r="H939" s="101"/>
      <c r="I939" s="101"/>
      <c r="J939" s="101"/>
      <c r="S939" s="101"/>
      <c r="T939" s="241"/>
      <c r="U939" s="241"/>
      <c r="V939" s="241"/>
      <c r="W939" s="241"/>
      <c r="X939" s="241"/>
      <c r="Y939" s="241"/>
      <c r="Z939" s="241"/>
    </row>
    <row r="940" spans="3:26" ht="16.5">
      <c r="C940" s="101"/>
      <c r="D940" s="101"/>
      <c r="E940" s="101"/>
      <c r="F940" s="101"/>
      <c r="G940" s="101"/>
      <c r="H940" s="101"/>
      <c r="I940" s="101"/>
      <c r="J940" s="101"/>
      <c r="S940" s="101"/>
      <c r="T940" s="241"/>
      <c r="U940" s="241"/>
      <c r="V940" s="241"/>
      <c r="W940" s="241"/>
      <c r="X940" s="241"/>
      <c r="Y940" s="241"/>
      <c r="Z940" s="241"/>
    </row>
    <row r="941" spans="3:26" ht="16.5">
      <c r="C941" s="101"/>
      <c r="D941" s="101"/>
      <c r="E941" s="101"/>
      <c r="F941" s="101"/>
      <c r="G941" s="101"/>
      <c r="H941" s="101"/>
      <c r="I941" s="101"/>
      <c r="J941" s="101"/>
      <c r="S941" s="101"/>
      <c r="T941" s="241"/>
      <c r="U941" s="241"/>
      <c r="V941" s="241"/>
      <c r="W941" s="241"/>
      <c r="X941" s="241"/>
      <c r="Y941" s="241"/>
      <c r="Z941" s="241"/>
    </row>
    <row r="942" spans="3:26" ht="16.5">
      <c r="C942" s="101"/>
      <c r="D942" s="101"/>
      <c r="E942" s="101"/>
      <c r="F942" s="101"/>
      <c r="G942" s="101"/>
      <c r="H942" s="101"/>
      <c r="I942" s="101"/>
      <c r="J942" s="101"/>
      <c r="S942" s="101"/>
      <c r="T942" s="241"/>
      <c r="U942" s="241"/>
      <c r="V942" s="241"/>
      <c r="W942" s="241"/>
      <c r="X942" s="241"/>
      <c r="Y942" s="241"/>
      <c r="Z942" s="241"/>
    </row>
    <row r="943" spans="3:26" ht="16.5">
      <c r="C943" s="101"/>
      <c r="D943" s="101"/>
      <c r="E943" s="101"/>
      <c r="F943" s="101"/>
      <c r="G943" s="101"/>
      <c r="H943" s="101"/>
      <c r="I943" s="101"/>
      <c r="J943" s="101"/>
      <c r="S943" s="101"/>
      <c r="T943" s="241"/>
      <c r="U943" s="241"/>
      <c r="V943" s="241"/>
      <c r="W943" s="241"/>
      <c r="X943" s="241"/>
      <c r="Y943" s="241"/>
      <c r="Z943" s="241"/>
    </row>
    <row r="944" spans="3:26" ht="16.5">
      <c r="C944" s="101"/>
      <c r="D944" s="101"/>
      <c r="E944" s="101"/>
      <c r="F944" s="101"/>
      <c r="G944" s="101"/>
      <c r="H944" s="101"/>
      <c r="I944" s="101"/>
      <c r="J944" s="101"/>
      <c r="S944" s="101"/>
      <c r="T944" s="241"/>
      <c r="U944" s="241"/>
      <c r="V944" s="241"/>
      <c r="W944" s="241"/>
      <c r="X944" s="241"/>
      <c r="Y944" s="241"/>
      <c r="Z944" s="241"/>
    </row>
    <row r="945" spans="3:26" ht="16.5">
      <c r="C945" s="101"/>
      <c r="D945" s="101"/>
      <c r="E945" s="101"/>
      <c r="F945" s="101"/>
      <c r="G945" s="101"/>
      <c r="H945" s="101"/>
      <c r="I945" s="101"/>
      <c r="J945" s="101"/>
      <c r="S945" s="101"/>
      <c r="T945" s="241"/>
      <c r="U945" s="241"/>
      <c r="V945" s="241"/>
      <c r="W945" s="241"/>
      <c r="X945" s="241"/>
      <c r="Y945" s="241"/>
      <c r="Z945" s="241"/>
    </row>
    <row r="946" spans="3:26" ht="16.5">
      <c r="C946" s="101"/>
      <c r="D946" s="101"/>
      <c r="E946" s="101"/>
      <c r="F946" s="101"/>
      <c r="G946" s="101"/>
      <c r="H946" s="101"/>
      <c r="I946" s="101"/>
      <c r="J946" s="101"/>
      <c r="S946" s="101"/>
      <c r="T946" s="241"/>
      <c r="U946" s="241"/>
      <c r="V946" s="241"/>
      <c r="W946" s="241"/>
      <c r="X946" s="241"/>
      <c r="Y946" s="241"/>
      <c r="Z946" s="241"/>
    </row>
    <row r="947" spans="3:26" ht="16.5">
      <c r="C947" s="101"/>
      <c r="D947" s="101"/>
      <c r="E947" s="101"/>
      <c r="F947" s="101"/>
      <c r="G947" s="101"/>
      <c r="H947" s="101"/>
      <c r="I947" s="101"/>
      <c r="J947" s="101"/>
      <c r="S947" s="101"/>
      <c r="T947" s="241"/>
      <c r="U947" s="241"/>
      <c r="V947" s="241"/>
      <c r="W947" s="241"/>
      <c r="X947" s="241"/>
      <c r="Y947" s="241"/>
      <c r="Z947" s="241"/>
    </row>
    <row r="948" spans="3:26" ht="16.5">
      <c r="C948" s="101"/>
      <c r="D948" s="101"/>
      <c r="E948" s="101"/>
      <c r="F948" s="101"/>
      <c r="G948" s="101"/>
      <c r="H948" s="101"/>
      <c r="I948" s="101"/>
      <c r="J948" s="101"/>
      <c r="S948" s="101"/>
      <c r="T948" s="241"/>
      <c r="U948" s="241"/>
      <c r="V948" s="241"/>
      <c r="W948" s="241"/>
      <c r="X948" s="241"/>
      <c r="Y948" s="241"/>
      <c r="Z948" s="241"/>
    </row>
    <row r="949" spans="3:26" ht="16.5">
      <c r="C949" s="101"/>
      <c r="D949" s="101"/>
      <c r="E949" s="101"/>
      <c r="F949" s="101"/>
      <c r="G949" s="101"/>
      <c r="H949" s="101"/>
      <c r="I949" s="101"/>
      <c r="J949" s="101"/>
      <c r="S949" s="101"/>
      <c r="T949" s="241"/>
      <c r="U949" s="241"/>
      <c r="V949" s="241"/>
      <c r="W949" s="241"/>
      <c r="X949" s="241"/>
      <c r="Y949" s="241"/>
      <c r="Z949" s="241"/>
    </row>
    <row r="950" spans="3:26" ht="16.5">
      <c r="C950" s="101"/>
      <c r="D950" s="101"/>
      <c r="E950" s="101"/>
      <c r="F950" s="101"/>
      <c r="G950" s="101"/>
      <c r="H950" s="101"/>
      <c r="I950" s="101"/>
      <c r="J950" s="101"/>
      <c r="S950" s="101"/>
      <c r="T950" s="241"/>
      <c r="U950" s="241"/>
      <c r="V950" s="241"/>
      <c r="W950" s="241"/>
      <c r="X950" s="241"/>
      <c r="Y950" s="241"/>
      <c r="Z950" s="241"/>
    </row>
    <row r="951" spans="3:26" ht="16.5">
      <c r="C951" s="101"/>
      <c r="D951" s="101"/>
      <c r="E951" s="101"/>
      <c r="F951" s="101"/>
      <c r="G951" s="101"/>
      <c r="H951" s="101"/>
      <c r="I951" s="101"/>
      <c r="J951" s="101"/>
      <c r="S951" s="101"/>
      <c r="T951" s="241"/>
      <c r="U951" s="241"/>
      <c r="V951" s="241"/>
      <c r="W951" s="241"/>
      <c r="X951" s="241"/>
      <c r="Y951" s="241"/>
      <c r="Z951" s="241"/>
    </row>
    <row r="952" spans="3:26" ht="16.5">
      <c r="C952" s="101"/>
      <c r="D952" s="101"/>
      <c r="E952" s="101"/>
      <c r="F952" s="101"/>
      <c r="G952" s="101"/>
      <c r="H952" s="101"/>
      <c r="I952" s="101"/>
      <c r="J952" s="101"/>
      <c r="S952" s="101"/>
      <c r="T952" s="241"/>
      <c r="U952" s="241"/>
      <c r="V952" s="241"/>
      <c r="W952" s="241"/>
      <c r="X952" s="241"/>
      <c r="Y952" s="241"/>
      <c r="Z952" s="241"/>
    </row>
    <row r="953" spans="3:26" ht="16.5">
      <c r="C953" s="101"/>
      <c r="D953" s="101"/>
      <c r="E953" s="101"/>
      <c r="F953" s="101"/>
      <c r="G953" s="101"/>
      <c r="H953" s="101"/>
      <c r="I953" s="101"/>
      <c r="J953" s="101"/>
      <c r="S953" s="101"/>
      <c r="T953" s="241"/>
      <c r="U953" s="241"/>
      <c r="V953" s="241"/>
      <c r="W953" s="241"/>
      <c r="X953" s="241"/>
      <c r="Y953" s="241"/>
      <c r="Z953" s="241"/>
    </row>
    <row r="954" spans="3:26" ht="16.5">
      <c r="C954" s="101"/>
      <c r="D954" s="101"/>
      <c r="E954" s="101"/>
      <c r="F954" s="101"/>
      <c r="G954" s="101"/>
      <c r="H954" s="101"/>
      <c r="I954" s="101"/>
      <c r="J954" s="101"/>
      <c r="S954" s="101"/>
      <c r="T954" s="241"/>
      <c r="U954" s="241"/>
      <c r="V954" s="241"/>
      <c r="W954" s="241"/>
      <c r="X954" s="241"/>
      <c r="Y954" s="241"/>
      <c r="Z954" s="241"/>
    </row>
    <row r="955" spans="3:26" ht="16.5">
      <c r="C955" s="101"/>
      <c r="D955" s="101"/>
      <c r="E955" s="101"/>
      <c r="F955" s="101"/>
      <c r="G955" s="101"/>
      <c r="H955" s="101"/>
      <c r="I955" s="101"/>
      <c r="J955" s="101"/>
      <c r="S955" s="101"/>
      <c r="T955" s="241"/>
      <c r="U955" s="241"/>
      <c r="V955" s="241"/>
      <c r="W955" s="241"/>
      <c r="X955" s="241"/>
      <c r="Y955" s="241"/>
      <c r="Z955" s="241"/>
    </row>
    <row r="956" spans="3:26" ht="16.5">
      <c r="C956" s="101"/>
      <c r="D956" s="101"/>
      <c r="E956" s="101"/>
      <c r="F956" s="101"/>
      <c r="G956" s="101"/>
      <c r="H956" s="101"/>
      <c r="I956" s="101"/>
      <c r="J956" s="101"/>
      <c r="S956" s="101"/>
      <c r="T956" s="241"/>
      <c r="U956" s="241"/>
      <c r="V956" s="241"/>
      <c r="W956" s="241"/>
      <c r="X956" s="241"/>
      <c r="Y956" s="241"/>
      <c r="Z956" s="241"/>
    </row>
    <row r="957" spans="3:26" ht="16.5">
      <c r="C957" s="101"/>
      <c r="D957" s="101"/>
      <c r="E957" s="101"/>
      <c r="F957" s="101"/>
      <c r="G957" s="101"/>
      <c r="H957" s="101"/>
      <c r="I957" s="101"/>
      <c r="J957" s="101"/>
      <c r="S957" s="101"/>
      <c r="T957" s="241"/>
      <c r="U957" s="241"/>
      <c r="V957" s="241"/>
      <c r="W957" s="241"/>
      <c r="X957" s="241"/>
      <c r="Y957" s="241"/>
      <c r="Z957" s="241"/>
    </row>
    <row r="958" spans="3:26" ht="16.5">
      <c r="C958" s="101"/>
      <c r="D958" s="101"/>
      <c r="E958" s="101"/>
      <c r="F958" s="101"/>
      <c r="G958" s="101"/>
      <c r="H958" s="101"/>
      <c r="I958" s="101"/>
      <c r="J958" s="101"/>
      <c r="S958" s="101"/>
      <c r="T958" s="241"/>
      <c r="U958" s="241"/>
      <c r="V958" s="241"/>
      <c r="W958" s="241"/>
      <c r="X958" s="241"/>
      <c r="Y958" s="241"/>
      <c r="Z958" s="241"/>
    </row>
    <row r="959" spans="3:26" ht="16.5">
      <c r="C959" s="101"/>
      <c r="D959" s="101"/>
      <c r="E959" s="101"/>
      <c r="F959" s="101"/>
      <c r="G959" s="101"/>
      <c r="H959" s="101"/>
      <c r="I959" s="101"/>
      <c r="J959" s="101"/>
      <c r="S959" s="101"/>
      <c r="T959" s="241"/>
      <c r="U959" s="241"/>
      <c r="V959" s="241"/>
      <c r="W959" s="241"/>
      <c r="X959" s="241"/>
      <c r="Y959" s="241"/>
      <c r="Z959" s="241"/>
    </row>
    <row r="960" spans="3:26" ht="16.5">
      <c r="C960" s="101"/>
      <c r="D960" s="101"/>
      <c r="E960" s="101"/>
      <c r="F960" s="101"/>
      <c r="G960" s="101"/>
      <c r="H960" s="101"/>
      <c r="I960" s="101"/>
      <c r="J960" s="101"/>
      <c r="S960" s="101"/>
      <c r="T960" s="241"/>
      <c r="U960" s="241"/>
      <c r="V960" s="241"/>
      <c r="W960" s="241"/>
      <c r="X960" s="241"/>
      <c r="Y960" s="241"/>
      <c r="Z960" s="241"/>
    </row>
    <row r="961" spans="3:26" ht="16.5">
      <c r="C961" s="101"/>
      <c r="D961" s="101"/>
      <c r="E961" s="101"/>
      <c r="F961" s="101"/>
      <c r="G961" s="101"/>
      <c r="H961" s="101"/>
      <c r="I961" s="101"/>
      <c r="J961" s="101"/>
      <c r="S961" s="101"/>
      <c r="T961" s="241"/>
      <c r="U961" s="241"/>
      <c r="V961" s="241"/>
      <c r="W961" s="241"/>
      <c r="X961" s="241"/>
      <c r="Y961" s="241"/>
      <c r="Z961" s="241"/>
    </row>
    <row r="962" spans="3:26" ht="16.5">
      <c r="C962" s="101"/>
      <c r="D962" s="101"/>
      <c r="E962" s="101"/>
      <c r="F962" s="101"/>
      <c r="G962" s="101"/>
      <c r="H962" s="101"/>
      <c r="I962" s="101"/>
      <c r="J962" s="101"/>
      <c r="S962" s="101"/>
      <c r="T962" s="241"/>
      <c r="U962" s="241"/>
      <c r="V962" s="241"/>
      <c r="W962" s="241"/>
      <c r="X962" s="241"/>
      <c r="Y962" s="241"/>
      <c r="Z962" s="241"/>
    </row>
    <row r="963" spans="3:26" ht="16.5">
      <c r="C963" s="101"/>
      <c r="D963" s="101"/>
      <c r="E963" s="101"/>
      <c r="F963" s="101"/>
      <c r="G963" s="101"/>
      <c r="H963" s="101"/>
      <c r="I963" s="101"/>
      <c r="J963" s="101"/>
      <c r="S963" s="101"/>
      <c r="T963" s="241"/>
      <c r="U963" s="241"/>
      <c r="V963" s="241"/>
      <c r="W963" s="241"/>
      <c r="X963" s="241"/>
      <c r="Y963" s="241"/>
      <c r="Z963" s="241"/>
    </row>
    <row r="964" spans="3:26" ht="16.5">
      <c r="C964" s="101"/>
      <c r="D964" s="101"/>
      <c r="E964" s="101"/>
      <c r="F964" s="101"/>
      <c r="G964" s="101"/>
      <c r="H964" s="101"/>
      <c r="I964" s="101"/>
      <c r="J964" s="101"/>
      <c r="S964" s="101"/>
      <c r="T964" s="241"/>
      <c r="U964" s="241"/>
      <c r="V964" s="241"/>
      <c r="W964" s="241"/>
      <c r="X964" s="241"/>
      <c r="Y964" s="241"/>
      <c r="Z964" s="241"/>
    </row>
    <row r="965" spans="3:26" ht="16.5">
      <c r="C965" s="101"/>
      <c r="D965" s="101"/>
      <c r="E965" s="101"/>
      <c r="F965" s="101"/>
      <c r="G965" s="101"/>
      <c r="H965" s="101"/>
      <c r="I965" s="101"/>
      <c r="J965" s="101"/>
      <c r="S965" s="101"/>
      <c r="T965" s="241"/>
      <c r="U965" s="241"/>
      <c r="V965" s="241"/>
      <c r="W965" s="241"/>
      <c r="X965" s="241"/>
      <c r="Y965" s="241"/>
      <c r="Z965" s="241"/>
    </row>
    <row r="966" spans="3:26" ht="16.5">
      <c r="C966" s="101"/>
      <c r="D966" s="101"/>
      <c r="E966" s="101"/>
      <c r="F966" s="101"/>
      <c r="G966" s="101"/>
      <c r="H966" s="101"/>
      <c r="I966" s="101"/>
      <c r="J966" s="101"/>
      <c r="S966" s="101"/>
      <c r="T966" s="241"/>
      <c r="U966" s="241"/>
      <c r="V966" s="241"/>
      <c r="W966" s="241"/>
      <c r="X966" s="241"/>
      <c r="Y966" s="241"/>
      <c r="Z966" s="241"/>
    </row>
    <row r="967" spans="3:26" ht="16.5">
      <c r="C967" s="101"/>
      <c r="D967" s="101"/>
      <c r="E967" s="101"/>
      <c r="F967" s="101"/>
      <c r="G967" s="101"/>
      <c r="H967" s="101"/>
      <c r="I967" s="101"/>
      <c r="J967" s="101"/>
      <c r="S967" s="101"/>
      <c r="T967" s="241"/>
      <c r="U967" s="241"/>
      <c r="V967" s="241"/>
      <c r="W967" s="241"/>
      <c r="X967" s="241"/>
      <c r="Y967" s="241"/>
      <c r="Z967" s="241"/>
    </row>
    <row r="968" spans="3:26" ht="16.5">
      <c r="C968" s="101"/>
      <c r="D968" s="101"/>
      <c r="E968" s="101"/>
      <c r="F968" s="101"/>
      <c r="G968" s="101"/>
      <c r="H968" s="101"/>
      <c r="I968" s="101"/>
      <c r="J968" s="101"/>
      <c r="S968" s="101"/>
      <c r="T968" s="241"/>
      <c r="U968" s="241"/>
      <c r="V968" s="241"/>
      <c r="W968" s="241"/>
      <c r="X968" s="241"/>
      <c r="Y968" s="241"/>
      <c r="Z968" s="241"/>
    </row>
    <row r="969" spans="3:26" ht="16.5">
      <c r="C969" s="101"/>
      <c r="D969" s="101"/>
      <c r="E969" s="101"/>
      <c r="F969" s="101"/>
      <c r="G969" s="101"/>
      <c r="H969" s="101"/>
      <c r="I969" s="101"/>
      <c r="J969" s="101"/>
      <c r="S969" s="101"/>
      <c r="T969" s="241"/>
      <c r="U969" s="241"/>
      <c r="V969" s="241"/>
      <c r="W969" s="241"/>
      <c r="X969" s="241"/>
      <c r="Y969" s="241"/>
      <c r="Z969" s="241"/>
    </row>
    <row r="970" spans="3:26" ht="16.5">
      <c r="C970" s="101"/>
      <c r="D970" s="101"/>
      <c r="E970" s="101"/>
      <c r="F970" s="101"/>
      <c r="G970" s="101"/>
      <c r="H970" s="101"/>
      <c r="I970" s="101"/>
      <c r="J970" s="101"/>
      <c r="S970" s="101"/>
      <c r="T970" s="241"/>
      <c r="U970" s="241"/>
      <c r="V970" s="241"/>
      <c r="W970" s="241"/>
      <c r="X970" s="241"/>
      <c r="Y970" s="241"/>
      <c r="Z970" s="241"/>
    </row>
    <row r="971" spans="3:26" ht="16.5">
      <c r="C971" s="101"/>
      <c r="D971" s="101"/>
      <c r="E971" s="101"/>
      <c r="F971" s="101"/>
      <c r="G971" s="101"/>
      <c r="H971" s="101"/>
      <c r="I971" s="101"/>
      <c r="J971" s="101"/>
      <c r="S971" s="101"/>
      <c r="T971" s="241"/>
      <c r="U971" s="241"/>
      <c r="V971" s="241"/>
      <c r="W971" s="241"/>
      <c r="X971" s="241"/>
      <c r="Y971" s="241"/>
      <c r="Z971" s="241"/>
    </row>
    <row r="972" spans="3:26" ht="16.5">
      <c r="C972" s="101"/>
      <c r="D972" s="101"/>
      <c r="E972" s="101"/>
      <c r="F972" s="101"/>
      <c r="G972" s="101"/>
      <c r="H972" s="101"/>
      <c r="I972" s="101"/>
      <c r="J972" s="101"/>
      <c r="S972" s="101"/>
      <c r="T972" s="241"/>
      <c r="U972" s="241"/>
      <c r="V972" s="241"/>
      <c r="W972" s="241"/>
      <c r="X972" s="241"/>
      <c r="Y972" s="241"/>
      <c r="Z972" s="241"/>
    </row>
    <row r="973" spans="3:26" ht="16.5">
      <c r="C973" s="101"/>
      <c r="D973" s="101"/>
      <c r="E973" s="101"/>
      <c r="F973" s="101"/>
      <c r="G973" s="101"/>
      <c r="H973" s="101"/>
      <c r="I973" s="101"/>
      <c r="J973" s="101"/>
      <c r="S973" s="101"/>
      <c r="T973" s="241"/>
      <c r="U973" s="241"/>
      <c r="V973" s="241"/>
      <c r="W973" s="241"/>
      <c r="X973" s="241"/>
      <c r="Y973" s="241"/>
      <c r="Z973" s="241"/>
    </row>
    <row r="974" spans="3:26" ht="16.5">
      <c r="C974" s="101"/>
      <c r="D974" s="101"/>
      <c r="E974" s="101"/>
      <c r="F974" s="101"/>
      <c r="G974" s="101"/>
      <c r="H974" s="101"/>
      <c r="I974" s="101"/>
      <c r="J974" s="101"/>
      <c r="S974" s="101"/>
      <c r="T974" s="241"/>
      <c r="U974" s="241"/>
      <c r="V974" s="241"/>
      <c r="W974" s="241"/>
      <c r="X974" s="241"/>
      <c r="Y974" s="241"/>
      <c r="Z974" s="241"/>
    </row>
    <row r="975" spans="3:26" ht="16.5">
      <c r="C975" s="101"/>
      <c r="D975" s="101"/>
      <c r="E975" s="101"/>
      <c r="F975" s="101"/>
      <c r="G975" s="101"/>
      <c r="H975" s="101"/>
      <c r="I975" s="101"/>
      <c r="J975" s="101"/>
      <c r="S975" s="101"/>
      <c r="T975" s="241"/>
      <c r="U975" s="241"/>
      <c r="V975" s="241"/>
      <c r="W975" s="241"/>
      <c r="X975" s="241"/>
      <c r="Y975" s="241"/>
      <c r="Z975" s="241"/>
    </row>
    <row r="976" spans="3:26" ht="16.5">
      <c r="C976" s="101"/>
      <c r="D976" s="101"/>
      <c r="E976" s="101"/>
      <c r="F976" s="101"/>
      <c r="G976" s="101"/>
      <c r="H976" s="101"/>
      <c r="I976" s="101"/>
      <c r="J976" s="101"/>
      <c r="S976" s="101"/>
      <c r="T976" s="241"/>
      <c r="U976" s="241"/>
      <c r="V976" s="241"/>
      <c r="W976" s="241"/>
      <c r="X976" s="241"/>
      <c r="Y976" s="241"/>
      <c r="Z976" s="241"/>
    </row>
    <row r="977" spans="3:26" ht="16.5">
      <c r="C977" s="101"/>
      <c r="D977" s="101"/>
      <c r="E977" s="101"/>
      <c r="F977" s="101"/>
      <c r="G977" s="101"/>
      <c r="H977" s="101"/>
      <c r="I977" s="101"/>
      <c r="J977" s="101"/>
      <c r="S977" s="101"/>
      <c r="T977" s="241"/>
      <c r="U977" s="241"/>
      <c r="V977" s="241"/>
      <c r="W977" s="241"/>
      <c r="X977" s="241"/>
      <c r="Y977" s="241"/>
      <c r="Z977" s="241"/>
    </row>
    <row r="978" spans="3:26" ht="16.5">
      <c r="C978" s="101"/>
      <c r="D978" s="101"/>
      <c r="E978" s="101"/>
      <c r="F978" s="101"/>
      <c r="G978" s="101"/>
      <c r="H978" s="101"/>
      <c r="I978" s="101"/>
      <c r="J978" s="101"/>
      <c r="S978" s="101"/>
      <c r="T978" s="241"/>
      <c r="U978" s="241"/>
      <c r="V978" s="241"/>
      <c r="W978" s="241"/>
      <c r="X978" s="241"/>
      <c r="Y978" s="241"/>
      <c r="Z978" s="241"/>
    </row>
    <row r="979" spans="3:26" ht="16.5">
      <c r="C979" s="101"/>
      <c r="D979" s="101"/>
      <c r="E979" s="101"/>
      <c r="F979" s="101"/>
      <c r="G979" s="101"/>
      <c r="H979" s="101"/>
      <c r="I979" s="101"/>
      <c r="J979" s="101"/>
      <c r="S979" s="101"/>
      <c r="T979" s="241"/>
      <c r="U979" s="241"/>
      <c r="V979" s="241"/>
      <c r="W979" s="241"/>
      <c r="X979" s="241"/>
      <c r="Y979" s="241"/>
      <c r="Z979" s="241"/>
    </row>
    <row r="980" spans="3:26" ht="16.5">
      <c r="C980" s="101"/>
      <c r="D980" s="101"/>
      <c r="E980" s="101"/>
      <c r="F980" s="101"/>
      <c r="G980" s="101"/>
      <c r="H980" s="101"/>
      <c r="I980" s="101"/>
      <c r="J980" s="101"/>
      <c r="S980" s="101"/>
      <c r="T980" s="241"/>
      <c r="U980" s="241"/>
      <c r="V980" s="241"/>
      <c r="W980" s="241"/>
      <c r="X980" s="241"/>
      <c r="Y980" s="241"/>
      <c r="Z980" s="241"/>
    </row>
    <row r="981" spans="3:26" ht="16.5">
      <c r="C981" s="101"/>
      <c r="D981" s="101"/>
      <c r="E981" s="101"/>
      <c r="F981" s="101"/>
      <c r="G981" s="101"/>
      <c r="H981" s="101"/>
      <c r="I981" s="101"/>
      <c r="J981" s="101"/>
      <c r="S981" s="101"/>
      <c r="T981" s="241"/>
      <c r="U981" s="241"/>
      <c r="V981" s="241"/>
      <c r="W981" s="241"/>
      <c r="X981" s="241"/>
      <c r="Y981" s="241"/>
      <c r="Z981" s="241"/>
    </row>
    <row r="982" spans="3:26" ht="16.5">
      <c r="C982" s="101"/>
      <c r="D982" s="101"/>
      <c r="E982" s="101"/>
      <c r="F982" s="101"/>
      <c r="G982" s="101"/>
      <c r="H982" s="101"/>
      <c r="I982" s="101"/>
      <c r="J982" s="101"/>
      <c r="S982" s="101"/>
      <c r="T982" s="241"/>
      <c r="U982" s="241"/>
      <c r="V982" s="241"/>
      <c r="W982" s="241"/>
      <c r="X982" s="241"/>
      <c r="Y982" s="241"/>
      <c r="Z982" s="241"/>
    </row>
    <row r="983" spans="3:26" ht="16.5">
      <c r="C983" s="101"/>
      <c r="D983" s="101"/>
      <c r="E983" s="101"/>
      <c r="F983" s="101"/>
      <c r="G983" s="101"/>
      <c r="H983" s="101"/>
      <c r="I983" s="101"/>
      <c r="J983" s="101"/>
      <c r="S983" s="101"/>
      <c r="T983" s="241"/>
      <c r="U983" s="241"/>
      <c r="V983" s="241"/>
      <c r="W983" s="241"/>
      <c r="X983" s="241"/>
      <c r="Y983" s="241"/>
      <c r="Z983" s="241"/>
    </row>
    <row r="984" spans="3:26" ht="16.5">
      <c r="C984" s="101"/>
      <c r="D984" s="101"/>
      <c r="E984" s="101"/>
      <c r="F984" s="101"/>
      <c r="G984" s="101"/>
      <c r="H984" s="101"/>
      <c r="I984" s="101"/>
      <c r="J984" s="101"/>
      <c r="S984" s="101"/>
      <c r="T984" s="241"/>
      <c r="U984" s="241"/>
      <c r="V984" s="241"/>
      <c r="W984" s="241"/>
      <c r="X984" s="241"/>
      <c r="Y984" s="241"/>
      <c r="Z984" s="241"/>
    </row>
    <row r="985" spans="3:26" ht="16.5">
      <c r="C985" s="101"/>
      <c r="D985" s="101"/>
      <c r="E985" s="101"/>
      <c r="F985" s="101"/>
      <c r="G985" s="101"/>
      <c r="H985" s="101"/>
      <c r="I985" s="101"/>
      <c r="J985" s="101"/>
      <c r="S985" s="101"/>
      <c r="T985" s="241"/>
      <c r="U985" s="241"/>
      <c r="V985" s="241"/>
      <c r="W985" s="241"/>
      <c r="X985" s="241"/>
      <c r="Y985" s="241"/>
      <c r="Z985" s="241"/>
    </row>
    <row r="986" spans="3:26" ht="16.5">
      <c r="C986" s="101"/>
      <c r="D986" s="101"/>
      <c r="E986" s="101"/>
      <c r="F986" s="101"/>
      <c r="G986" s="101"/>
      <c r="H986" s="101"/>
      <c r="I986" s="101"/>
      <c r="J986" s="101"/>
      <c r="S986" s="101"/>
      <c r="T986" s="241"/>
      <c r="U986" s="241"/>
      <c r="V986" s="241"/>
      <c r="W986" s="241"/>
      <c r="X986" s="241"/>
      <c r="Y986" s="241"/>
      <c r="Z986" s="241"/>
    </row>
    <row r="987" spans="3:26" ht="16.5">
      <c r="C987" s="101"/>
      <c r="D987" s="101"/>
      <c r="E987" s="101"/>
      <c r="F987" s="101"/>
      <c r="G987" s="101"/>
      <c r="H987" s="101"/>
      <c r="I987" s="101"/>
      <c r="J987" s="101"/>
      <c r="S987" s="101"/>
      <c r="T987" s="241"/>
      <c r="U987" s="241"/>
      <c r="V987" s="241"/>
      <c r="W987" s="241"/>
      <c r="X987" s="241"/>
      <c r="Y987" s="241"/>
      <c r="Z987" s="241"/>
    </row>
    <row r="988" spans="3:26" ht="16.5">
      <c r="C988" s="101"/>
      <c r="D988" s="101"/>
      <c r="E988" s="101"/>
      <c r="F988" s="101"/>
      <c r="G988" s="101"/>
      <c r="H988" s="101"/>
      <c r="I988" s="101"/>
      <c r="J988" s="101"/>
      <c r="S988" s="101"/>
      <c r="T988" s="241"/>
      <c r="U988" s="241"/>
      <c r="V988" s="241"/>
      <c r="W988" s="241"/>
      <c r="X988" s="241"/>
      <c r="Y988" s="241"/>
      <c r="Z988" s="241"/>
    </row>
    <row r="989" spans="3:26" ht="16.5">
      <c r="C989" s="101"/>
      <c r="D989" s="101"/>
      <c r="E989" s="101"/>
      <c r="F989" s="101"/>
      <c r="G989" s="101"/>
      <c r="H989" s="101"/>
      <c r="I989" s="101"/>
      <c r="J989" s="101"/>
      <c r="S989" s="101"/>
      <c r="T989" s="241"/>
      <c r="U989" s="241"/>
      <c r="V989" s="241"/>
      <c r="W989" s="241"/>
      <c r="X989" s="241"/>
      <c r="Y989" s="241"/>
      <c r="Z989" s="241"/>
    </row>
    <row r="990" spans="3:26" ht="16.5">
      <c r="C990" s="101"/>
      <c r="D990" s="101"/>
      <c r="E990" s="101"/>
      <c r="F990" s="101"/>
      <c r="G990" s="101"/>
      <c r="H990" s="101"/>
      <c r="I990" s="101"/>
      <c r="J990" s="101"/>
      <c r="S990" s="101"/>
      <c r="T990" s="241"/>
      <c r="U990" s="241"/>
      <c r="V990" s="241"/>
      <c r="W990" s="241"/>
      <c r="X990" s="241"/>
      <c r="Y990" s="241"/>
      <c r="Z990" s="241"/>
    </row>
    <row r="991" spans="3:26" ht="16.5">
      <c r="C991" s="101"/>
      <c r="D991" s="101"/>
      <c r="E991" s="101"/>
      <c r="F991" s="101"/>
      <c r="G991" s="101"/>
      <c r="H991" s="101"/>
      <c r="I991" s="101"/>
      <c r="J991" s="101"/>
      <c r="S991" s="101"/>
      <c r="T991" s="241"/>
      <c r="U991" s="241"/>
      <c r="V991" s="241"/>
      <c r="W991" s="241"/>
      <c r="X991" s="241"/>
      <c r="Y991" s="241"/>
      <c r="Z991" s="241"/>
    </row>
    <row r="992" spans="3:26" ht="16.5">
      <c r="C992" s="101"/>
      <c r="D992" s="101"/>
      <c r="E992" s="101"/>
      <c r="F992" s="101"/>
      <c r="G992" s="101"/>
      <c r="H992" s="101"/>
      <c r="I992" s="101"/>
      <c r="J992" s="101"/>
      <c r="S992" s="101"/>
      <c r="T992" s="241"/>
      <c r="U992" s="241"/>
      <c r="V992" s="241"/>
      <c r="W992" s="241"/>
      <c r="X992" s="241"/>
      <c r="Y992" s="241"/>
      <c r="Z992" s="241"/>
    </row>
    <row r="993" spans="3:26" ht="16.5">
      <c r="C993" s="101"/>
      <c r="D993" s="101"/>
      <c r="E993" s="101"/>
      <c r="F993" s="101"/>
      <c r="G993" s="101"/>
      <c r="H993" s="101"/>
      <c r="I993" s="101"/>
      <c r="J993" s="101"/>
      <c r="S993" s="101"/>
      <c r="T993" s="241"/>
      <c r="U993" s="241"/>
      <c r="V993" s="241"/>
      <c r="W993" s="241"/>
      <c r="X993" s="241"/>
      <c r="Y993" s="241"/>
      <c r="Z993" s="241"/>
    </row>
    <row r="994" spans="3:26" ht="16.5">
      <c r="C994" s="101"/>
      <c r="D994" s="101"/>
      <c r="E994" s="101"/>
      <c r="F994" s="101"/>
      <c r="G994" s="101"/>
      <c r="H994" s="101"/>
      <c r="I994" s="101"/>
      <c r="J994" s="101"/>
      <c r="S994" s="101"/>
      <c r="T994" s="241"/>
      <c r="U994" s="241"/>
      <c r="V994" s="241"/>
      <c r="W994" s="241"/>
      <c r="X994" s="241"/>
      <c r="Y994" s="241"/>
      <c r="Z994" s="241"/>
    </row>
    <row r="995" spans="3:26" ht="16.5">
      <c r="C995" s="101"/>
      <c r="D995" s="101"/>
      <c r="E995" s="101"/>
      <c r="F995" s="101"/>
      <c r="G995" s="101"/>
      <c r="H995" s="101"/>
      <c r="I995" s="101"/>
      <c r="J995" s="101"/>
      <c r="S995" s="101"/>
      <c r="T995" s="241"/>
      <c r="U995" s="241"/>
      <c r="V995" s="241"/>
      <c r="W995" s="241"/>
      <c r="X995" s="241"/>
      <c r="Y995" s="241"/>
      <c r="Z995" s="241"/>
    </row>
    <row r="996" spans="3:26" ht="16.5">
      <c r="C996" s="101"/>
      <c r="D996" s="101"/>
      <c r="E996" s="101"/>
      <c r="F996" s="101"/>
      <c r="G996" s="101"/>
      <c r="H996" s="101"/>
      <c r="I996" s="101"/>
      <c r="J996" s="101"/>
      <c r="S996" s="101"/>
      <c r="T996" s="241"/>
      <c r="U996" s="241"/>
      <c r="V996" s="241"/>
      <c r="W996" s="241"/>
      <c r="X996" s="241"/>
      <c r="Y996" s="241"/>
      <c r="Z996" s="241"/>
    </row>
    <row r="997" spans="3:26" ht="16.5">
      <c r="C997" s="101"/>
      <c r="D997" s="101"/>
      <c r="E997" s="101"/>
      <c r="F997" s="101"/>
      <c r="G997" s="101"/>
      <c r="H997" s="101"/>
      <c r="I997" s="101"/>
      <c r="J997" s="101"/>
      <c r="S997" s="101"/>
      <c r="T997" s="241"/>
      <c r="U997" s="241"/>
      <c r="V997" s="241"/>
      <c r="W997" s="241"/>
      <c r="X997" s="241"/>
      <c r="Y997" s="241"/>
      <c r="Z997" s="241"/>
    </row>
    <row r="998" spans="3:26" ht="16.5">
      <c r="C998" s="101"/>
      <c r="D998" s="101"/>
      <c r="E998" s="101"/>
      <c r="F998" s="101"/>
      <c r="G998" s="101"/>
      <c r="H998" s="101"/>
      <c r="I998" s="101"/>
      <c r="J998" s="101"/>
      <c r="S998" s="101"/>
      <c r="T998" s="241"/>
      <c r="U998" s="241"/>
      <c r="V998" s="241"/>
      <c r="W998" s="241"/>
      <c r="X998" s="241"/>
      <c r="Y998" s="241"/>
      <c r="Z998" s="241"/>
    </row>
    <row r="999" spans="3:26" ht="16.5">
      <c r="C999" s="101"/>
      <c r="D999" s="101"/>
      <c r="E999" s="101"/>
      <c r="F999" s="101"/>
      <c r="G999" s="101"/>
      <c r="H999" s="101"/>
      <c r="I999" s="101"/>
      <c r="J999" s="101"/>
      <c r="S999" s="101"/>
      <c r="T999" s="241"/>
      <c r="U999" s="241"/>
      <c r="V999" s="241"/>
      <c r="W999" s="241"/>
      <c r="X999" s="241"/>
      <c r="Y999" s="241"/>
      <c r="Z999" s="241"/>
    </row>
    <row r="1000" spans="3:26" ht="16.5">
      <c r="C1000" s="101"/>
      <c r="D1000" s="101"/>
      <c r="E1000" s="101"/>
      <c r="F1000" s="101"/>
      <c r="G1000" s="101"/>
      <c r="H1000" s="101"/>
      <c r="I1000" s="101"/>
      <c r="J1000" s="101"/>
      <c r="S1000" s="101"/>
      <c r="T1000" s="241"/>
      <c r="U1000" s="241"/>
      <c r="V1000" s="241"/>
      <c r="W1000" s="241"/>
      <c r="X1000" s="241"/>
      <c r="Y1000" s="241"/>
      <c r="Z1000" s="241"/>
    </row>
    <row r="1001" spans="3:26" ht="16.5">
      <c r="C1001" s="101"/>
      <c r="D1001" s="101"/>
      <c r="E1001" s="101"/>
      <c r="F1001" s="101"/>
      <c r="G1001" s="101"/>
      <c r="H1001" s="101"/>
      <c r="I1001" s="101"/>
      <c r="J1001" s="101"/>
      <c r="S1001" s="101"/>
      <c r="T1001" s="241"/>
      <c r="U1001" s="241"/>
      <c r="V1001" s="241"/>
      <c r="W1001" s="241"/>
      <c r="X1001" s="241"/>
      <c r="Y1001" s="241"/>
      <c r="Z1001" s="241"/>
    </row>
    <row r="1002" spans="3:26" ht="16.5">
      <c r="C1002" s="101"/>
      <c r="D1002" s="101"/>
      <c r="E1002" s="101"/>
      <c r="F1002" s="101"/>
      <c r="G1002" s="101"/>
      <c r="H1002" s="101"/>
      <c r="I1002" s="101"/>
      <c r="J1002" s="101"/>
      <c r="S1002" s="101"/>
      <c r="T1002" s="241"/>
      <c r="U1002" s="241"/>
      <c r="V1002" s="241"/>
      <c r="W1002" s="241"/>
      <c r="X1002" s="241"/>
      <c r="Y1002" s="241"/>
      <c r="Z1002" s="241"/>
    </row>
    <row r="1003" spans="3:26" ht="16.5">
      <c r="C1003" s="101"/>
      <c r="D1003" s="101"/>
      <c r="E1003" s="101"/>
      <c r="F1003" s="101"/>
      <c r="G1003" s="101"/>
      <c r="H1003" s="101"/>
      <c r="I1003" s="101"/>
      <c r="J1003" s="101"/>
      <c r="S1003" s="101"/>
      <c r="T1003" s="241"/>
      <c r="U1003" s="241"/>
      <c r="V1003" s="241"/>
      <c r="W1003" s="241"/>
      <c r="X1003" s="241"/>
      <c r="Y1003" s="241"/>
      <c r="Z1003" s="241"/>
    </row>
    <row r="1004" spans="3:26" ht="16.5">
      <c r="C1004" s="101"/>
      <c r="D1004" s="101"/>
      <c r="E1004" s="101"/>
      <c r="F1004" s="101"/>
      <c r="G1004" s="101"/>
      <c r="H1004" s="101"/>
      <c r="I1004" s="101"/>
      <c r="J1004" s="101"/>
      <c r="S1004" s="101"/>
      <c r="T1004" s="241"/>
      <c r="U1004" s="241"/>
      <c r="V1004" s="241"/>
      <c r="W1004" s="241"/>
      <c r="X1004" s="241"/>
      <c r="Y1004" s="241"/>
      <c r="Z1004" s="241"/>
    </row>
    <row r="1005" spans="3:26" ht="16.5">
      <c r="C1005" s="101"/>
      <c r="D1005" s="101"/>
      <c r="E1005" s="101"/>
      <c r="F1005" s="101"/>
      <c r="G1005" s="101"/>
      <c r="H1005" s="101"/>
      <c r="I1005" s="101"/>
      <c r="J1005" s="101"/>
      <c r="S1005" s="101"/>
      <c r="T1005" s="241"/>
      <c r="U1005" s="241"/>
      <c r="V1005" s="241"/>
      <c r="W1005" s="241"/>
      <c r="X1005" s="241"/>
      <c r="Y1005" s="241"/>
      <c r="Z1005" s="241"/>
    </row>
    <row r="1006" spans="3:26" ht="16.5">
      <c r="C1006" s="101"/>
      <c r="D1006" s="101"/>
      <c r="E1006" s="101"/>
      <c r="F1006" s="101"/>
      <c r="G1006" s="101"/>
      <c r="H1006" s="101"/>
      <c r="I1006" s="101"/>
      <c r="J1006" s="101"/>
      <c r="S1006" s="101"/>
      <c r="T1006" s="241"/>
      <c r="U1006" s="241"/>
      <c r="V1006" s="241"/>
      <c r="W1006" s="241"/>
      <c r="X1006" s="241"/>
      <c r="Y1006" s="241"/>
      <c r="Z1006" s="241"/>
    </row>
    <row r="1007" spans="3:26" ht="16.5">
      <c r="C1007" s="101"/>
      <c r="D1007" s="101"/>
      <c r="E1007" s="101"/>
      <c r="F1007" s="101"/>
      <c r="G1007" s="101"/>
      <c r="H1007" s="101"/>
      <c r="I1007" s="101"/>
      <c r="J1007" s="101"/>
      <c r="S1007" s="101"/>
      <c r="T1007" s="241"/>
      <c r="U1007" s="241"/>
      <c r="V1007" s="241"/>
      <c r="W1007" s="241"/>
      <c r="X1007" s="241"/>
      <c r="Y1007" s="241"/>
      <c r="Z1007" s="241"/>
    </row>
    <row r="1008" spans="3:26" ht="16.5">
      <c r="C1008" s="101"/>
      <c r="D1008" s="101"/>
      <c r="E1008" s="101"/>
      <c r="F1008" s="101"/>
      <c r="G1008" s="101"/>
      <c r="H1008" s="101"/>
      <c r="I1008" s="101"/>
      <c r="J1008" s="101"/>
      <c r="S1008" s="101"/>
      <c r="T1008" s="241"/>
      <c r="U1008" s="241"/>
      <c r="V1008" s="241"/>
      <c r="W1008" s="241"/>
      <c r="X1008" s="241"/>
      <c r="Y1008" s="241"/>
      <c r="Z1008" s="241"/>
    </row>
    <row r="1009" spans="3:26" ht="16.5">
      <c r="C1009" s="101"/>
      <c r="D1009" s="101"/>
      <c r="E1009" s="101"/>
      <c r="F1009" s="101"/>
      <c r="G1009" s="101"/>
      <c r="H1009" s="101"/>
      <c r="I1009" s="101"/>
      <c r="J1009" s="101"/>
      <c r="S1009" s="101"/>
      <c r="T1009" s="241"/>
      <c r="U1009" s="241"/>
      <c r="V1009" s="241"/>
      <c r="W1009" s="241"/>
      <c r="X1009" s="241"/>
      <c r="Y1009" s="241"/>
      <c r="Z1009" s="241"/>
    </row>
    <row r="1010" spans="3:26" ht="16.5">
      <c r="C1010" s="101"/>
      <c r="D1010" s="101"/>
      <c r="E1010" s="101"/>
      <c r="F1010" s="101"/>
      <c r="G1010" s="101"/>
      <c r="H1010" s="101"/>
      <c r="I1010" s="101"/>
      <c r="J1010" s="101"/>
      <c r="S1010" s="101"/>
      <c r="T1010" s="241"/>
      <c r="U1010" s="241"/>
      <c r="V1010" s="241"/>
      <c r="W1010" s="241"/>
      <c r="X1010" s="241"/>
      <c r="Y1010" s="241"/>
      <c r="Z1010" s="241"/>
    </row>
    <row r="1011" spans="3:26" ht="16.5">
      <c r="C1011" s="101"/>
      <c r="D1011" s="101"/>
      <c r="E1011" s="101"/>
      <c r="F1011" s="101"/>
      <c r="G1011" s="101"/>
      <c r="H1011" s="101"/>
      <c r="I1011" s="101"/>
      <c r="J1011" s="101"/>
      <c r="S1011" s="101"/>
      <c r="T1011" s="241"/>
      <c r="U1011" s="241"/>
      <c r="V1011" s="241"/>
      <c r="W1011" s="241"/>
      <c r="X1011" s="241"/>
      <c r="Y1011" s="241"/>
      <c r="Z1011" s="241"/>
    </row>
    <row r="1012" spans="3:26" ht="16.5">
      <c r="C1012" s="101"/>
      <c r="D1012" s="101"/>
      <c r="E1012" s="101"/>
      <c r="F1012" s="101"/>
      <c r="G1012" s="101"/>
      <c r="H1012" s="101"/>
      <c r="I1012" s="101"/>
      <c r="J1012" s="101"/>
      <c r="S1012" s="101"/>
      <c r="T1012" s="241"/>
      <c r="U1012" s="241"/>
      <c r="V1012" s="241"/>
      <c r="W1012" s="241"/>
      <c r="X1012" s="241"/>
      <c r="Y1012" s="241"/>
      <c r="Z1012" s="241"/>
    </row>
    <row r="1013" spans="3:26" ht="16.5">
      <c r="C1013" s="101"/>
      <c r="D1013" s="101"/>
      <c r="E1013" s="101"/>
      <c r="F1013" s="101"/>
      <c r="G1013" s="101"/>
      <c r="H1013" s="101"/>
      <c r="I1013" s="101"/>
      <c r="J1013" s="101"/>
      <c r="S1013" s="101"/>
      <c r="T1013" s="241"/>
      <c r="U1013" s="241"/>
      <c r="V1013" s="241"/>
      <c r="W1013" s="241"/>
      <c r="X1013" s="241"/>
      <c r="Y1013" s="241"/>
      <c r="Z1013" s="241"/>
    </row>
    <row r="1014" spans="3:26" ht="16.5">
      <c r="C1014" s="101"/>
      <c r="D1014" s="101"/>
      <c r="E1014" s="101"/>
      <c r="F1014" s="101"/>
      <c r="G1014" s="101"/>
      <c r="H1014" s="101"/>
      <c r="I1014" s="101"/>
      <c r="J1014" s="101"/>
      <c r="S1014" s="101"/>
      <c r="T1014" s="241"/>
      <c r="U1014" s="241"/>
      <c r="V1014" s="241"/>
      <c r="W1014" s="241"/>
      <c r="X1014" s="241"/>
      <c r="Y1014" s="241"/>
      <c r="Z1014" s="241"/>
    </row>
    <row r="1015" spans="3:26" ht="16.5">
      <c r="C1015" s="101"/>
      <c r="D1015" s="101"/>
      <c r="E1015" s="101"/>
      <c r="F1015" s="101"/>
      <c r="G1015" s="101"/>
      <c r="H1015" s="101"/>
      <c r="I1015" s="101"/>
      <c r="J1015" s="101"/>
      <c r="S1015" s="101"/>
      <c r="T1015" s="241"/>
      <c r="U1015" s="241"/>
      <c r="V1015" s="241"/>
      <c r="W1015" s="241"/>
      <c r="X1015" s="241"/>
      <c r="Y1015" s="241"/>
      <c r="Z1015" s="241"/>
    </row>
    <row r="1016" spans="3:26" ht="16.5">
      <c r="C1016" s="101"/>
      <c r="D1016" s="101"/>
      <c r="E1016" s="101"/>
      <c r="F1016" s="101"/>
      <c r="G1016" s="101"/>
      <c r="H1016" s="101"/>
      <c r="I1016" s="101"/>
      <c r="J1016" s="101"/>
      <c r="S1016" s="101"/>
      <c r="T1016" s="241"/>
      <c r="U1016" s="241"/>
      <c r="V1016" s="241"/>
      <c r="W1016" s="241"/>
      <c r="X1016" s="241"/>
      <c r="Y1016" s="241"/>
      <c r="Z1016" s="241"/>
    </row>
    <row r="1017" spans="3:26" ht="16.5">
      <c r="C1017" s="101"/>
      <c r="D1017" s="101"/>
      <c r="E1017" s="101"/>
      <c r="F1017" s="101"/>
      <c r="G1017" s="101"/>
      <c r="H1017" s="101"/>
      <c r="I1017" s="101"/>
      <c r="J1017" s="101"/>
      <c r="S1017" s="101"/>
      <c r="T1017" s="241"/>
      <c r="U1017" s="241"/>
      <c r="V1017" s="241"/>
      <c r="W1017" s="241"/>
      <c r="X1017" s="241"/>
      <c r="Y1017" s="241"/>
      <c r="Z1017" s="241"/>
    </row>
    <row r="1018" spans="3:26" ht="16.5">
      <c r="C1018" s="101"/>
      <c r="D1018" s="101"/>
      <c r="E1018" s="101"/>
      <c r="F1018" s="101"/>
      <c r="G1018" s="101"/>
      <c r="H1018" s="101"/>
      <c r="I1018" s="101"/>
      <c r="J1018" s="101"/>
      <c r="S1018" s="101"/>
      <c r="T1018" s="241"/>
      <c r="U1018" s="241"/>
      <c r="V1018" s="241"/>
      <c r="W1018" s="241"/>
      <c r="X1018" s="241"/>
      <c r="Y1018" s="241"/>
      <c r="Z1018" s="241"/>
    </row>
    <row r="1019" spans="3:26" ht="16.5">
      <c r="C1019" s="101"/>
      <c r="D1019" s="101"/>
      <c r="E1019" s="101"/>
      <c r="F1019" s="101"/>
      <c r="G1019" s="101"/>
      <c r="H1019" s="101"/>
      <c r="I1019" s="101"/>
      <c r="J1019" s="101"/>
      <c r="S1019" s="101"/>
      <c r="T1019" s="241"/>
      <c r="U1019" s="241"/>
      <c r="V1019" s="241"/>
      <c r="W1019" s="241"/>
      <c r="X1019" s="241"/>
      <c r="Y1019" s="241"/>
      <c r="Z1019" s="241"/>
    </row>
    <row r="1020" spans="3:26" ht="16.5">
      <c r="C1020" s="101"/>
      <c r="D1020" s="101"/>
      <c r="E1020" s="101"/>
      <c r="F1020" s="101"/>
      <c r="G1020" s="101"/>
      <c r="H1020" s="101"/>
      <c r="I1020" s="101"/>
      <c r="J1020" s="101"/>
      <c r="S1020" s="101"/>
      <c r="T1020" s="241"/>
      <c r="U1020" s="241"/>
      <c r="V1020" s="241"/>
      <c r="W1020" s="241"/>
      <c r="X1020" s="241"/>
      <c r="Y1020" s="241"/>
      <c r="Z1020" s="241"/>
    </row>
    <row r="1021" spans="3:26" ht="16.5">
      <c r="C1021" s="101"/>
      <c r="D1021" s="101"/>
      <c r="E1021" s="101"/>
      <c r="F1021" s="101"/>
      <c r="G1021" s="101"/>
      <c r="H1021" s="101"/>
      <c r="I1021" s="101"/>
      <c r="J1021" s="101"/>
      <c r="S1021" s="101"/>
      <c r="T1021" s="241"/>
      <c r="U1021" s="241"/>
      <c r="V1021" s="241"/>
      <c r="W1021" s="241"/>
      <c r="X1021" s="241"/>
      <c r="Y1021" s="241"/>
      <c r="Z1021" s="241"/>
    </row>
    <row r="1022" spans="3:26" ht="16.5">
      <c r="C1022" s="101"/>
      <c r="D1022" s="101"/>
      <c r="E1022" s="101"/>
      <c r="F1022" s="101"/>
      <c r="G1022" s="101"/>
      <c r="H1022" s="101"/>
      <c r="I1022" s="101"/>
      <c r="J1022" s="101"/>
      <c r="S1022" s="101"/>
      <c r="T1022" s="241"/>
      <c r="U1022" s="241"/>
      <c r="V1022" s="241"/>
      <c r="W1022" s="241"/>
      <c r="X1022" s="241"/>
      <c r="Y1022" s="241"/>
      <c r="Z1022" s="241"/>
    </row>
    <row r="1023" spans="3:26" ht="16.5">
      <c r="C1023" s="101"/>
      <c r="D1023" s="101"/>
      <c r="E1023" s="101"/>
      <c r="F1023" s="101"/>
      <c r="G1023" s="101"/>
      <c r="H1023" s="101"/>
      <c r="I1023" s="101"/>
      <c r="J1023" s="101"/>
      <c r="S1023" s="101"/>
      <c r="T1023" s="241"/>
      <c r="U1023" s="241"/>
      <c r="V1023" s="241"/>
      <c r="W1023" s="241"/>
      <c r="X1023" s="241"/>
      <c r="Y1023" s="241"/>
      <c r="Z1023" s="241"/>
    </row>
    <row r="1024" spans="3:26" ht="16.5">
      <c r="C1024" s="101"/>
      <c r="D1024" s="101"/>
      <c r="E1024" s="101"/>
      <c r="F1024" s="101"/>
      <c r="G1024" s="101"/>
      <c r="H1024" s="101"/>
      <c r="I1024" s="101"/>
      <c r="J1024" s="101"/>
      <c r="S1024" s="101"/>
      <c r="T1024" s="241"/>
      <c r="U1024" s="241"/>
      <c r="V1024" s="241"/>
      <c r="W1024" s="241"/>
      <c r="X1024" s="241"/>
      <c r="Y1024" s="241"/>
      <c r="Z1024" s="241"/>
    </row>
    <row r="1025" spans="3:26" ht="16.5">
      <c r="C1025" s="101"/>
      <c r="D1025" s="101"/>
      <c r="E1025" s="101"/>
      <c r="F1025" s="101"/>
      <c r="G1025" s="101"/>
      <c r="H1025" s="101"/>
      <c r="I1025" s="101"/>
      <c r="J1025" s="101"/>
      <c r="S1025" s="101"/>
      <c r="T1025" s="241"/>
      <c r="U1025" s="241"/>
      <c r="V1025" s="241"/>
      <c r="W1025" s="241"/>
      <c r="X1025" s="241"/>
      <c r="Y1025" s="241"/>
      <c r="Z1025" s="241"/>
    </row>
    <row r="1026" spans="3:26" ht="16.5">
      <c r="C1026" s="101"/>
      <c r="D1026" s="101"/>
      <c r="E1026" s="101"/>
      <c r="F1026" s="101"/>
      <c r="G1026" s="101"/>
      <c r="H1026" s="101"/>
      <c r="I1026" s="101"/>
      <c r="J1026" s="101"/>
      <c r="S1026" s="101"/>
      <c r="T1026" s="241"/>
      <c r="U1026" s="241"/>
      <c r="V1026" s="241"/>
      <c r="W1026" s="241"/>
      <c r="X1026" s="241"/>
      <c r="Y1026" s="241"/>
      <c r="Z1026" s="241"/>
    </row>
    <row r="1027" spans="3:26" ht="16.5">
      <c r="C1027" s="101"/>
      <c r="D1027" s="101"/>
      <c r="E1027" s="101"/>
      <c r="F1027" s="101"/>
      <c r="G1027" s="101"/>
      <c r="H1027" s="101"/>
      <c r="I1027" s="101"/>
      <c r="J1027" s="101"/>
      <c r="S1027" s="101"/>
      <c r="T1027" s="241"/>
      <c r="U1027" s="241"/>
      <c r="V1027" s="241"/>
      <c r="W1027" s="241"/>
      <c r="X1027" s="241"/>
      <c r="Y1027" s="241"/>
      <c r="Z1027" s="241"/>
    </row>
    <row r="1028" spans="3:26" ht="16.5">
      <c r="C1028" s="101"/>
      <c r="D1028" s="101"/>
      <c r="E1028" s="101"/>
      <c r="F1028" s="101"/>
      <c r="G1028" s="101"/>
      <c r="H1028" s="101"/>
      <c r="I1028" s="101"/>
      <c r="J1028" s="101"/>
      <c r="S1028" s="101"/>
      <c r="T1028" s="241"/>
      <c r="U1028" s="241"/>
      <c r="V1028" s="241"/>
      <c r="W1028" s="241"/>
      <c r="X1028" s="241"/>
      <c r="Y1028" s="241"/>
      <c r="Z1028" s="241"/>
    </row>
    <row r="1029" spans="3:26" ht="16.5">
      <c r="C1029" s="101"/>
      <c r="D1029" s="101"/>
      <c r="E1029" s="101"/>
      <c r="F1029" s="101"/>
      <c r="G1029" s="101"/>
      <c r="H1029" s="101"/>
      <c r="I1029" s="101"/>
      <c r="J1029" s="101"/>
      <c r="S1029" s="101"/>
      <c r="T1029" s="241"/>
      <c r="U1029" s="241"/>
      <c r="V1029" s="241"/>
      <c r="W1029" s="241"/>
      <c r="X1029" s="241"/>
      <c r="Y1029" s="241"/>
      <c r="Z1029" s="241"/>
    </row>
    <row r="1030" spans="3:26" ht="16.5">
      <c r="C1030" s="101"/>
      <c r="D1030" s="101"/>
      <c r="E1030" s="101"/>
      <c r="F1030" s="101"/>
      <c r="G1030" s="101"/>
      <c r="H1030" s="101"/>
      <c r="I1030" s="101"/>
      <c r="J1030" s="101"/>
      <c r="S1030" s="101"/>
      <c r="T1030" s="241"/>
      <c r="U1030" s="241"/>
      <c r="V1030" s="241"/>
      <c r="W1030" s="241"/>
      <c r="X1030" s="241"/>
      <c r="Y1030" s="241"/>
      <c r="Z1030" s="241"/>
    </row>
    <row r="1031" spans="3:26" ht="16.5">
      <c r="C1031" s="101"/>
      <c r="D1031" s="101"/>
      <c r="E1031" s="101"/>
      <c r="F1031" s="101"/>
      <c r="G1031" s="101"/>
      <c r="H1031" s="101"/>
      <c r="I1031" s="101"/>
      <c r="J1031" s="101"/>
      <c r="S1031" s="101"/>
      <c r="T1031" s="241"/>
      <c r="U1031" s="241"/>
      <c r="V1031" s="241"/>
      <c r="W1031" s="241"/>
      <c r="X1031" s="241"/>
      <c r="Y1031" s="241"/>
      <c r="Z1031" s="241"/>
    </row>
    <row r="1032" spans="3:26" ht="16.5">
      <c r="C1032" s="101"/>
      <c r="D1032" s="101"/>
      <c r="E1032" s="101"/>
      <c r="F1032" s="101"/>
      <c r="G1032" s="101"/>
      <c r="H1032" s="101"/>
      <c r="I1032" s="101"/>
      <c r="J1032" s="101"/>
      <c r="S1032" s="101"/>
      <c r="T1032" s="241"/>
      <c r="U1032" s="241"/>
      <c r="V1032" s="241"/>
      <c r="W1032" s="241"/>
      <c r="X1032" s="241"/>
      <c r="Y1032" s="241"/>
      <c r="Z1032" s="241"/>
    </row>
    <row r="1033" spans="3:26" ht="16.5">
      <c r="C1033" s="101"/>
      <c r="D1033" s="101"/>
      <c r="E1033" s="101"/>
      <c r="F1033" s="101"/>
      <c r="G1033" s="101"/>
      <c r="H1033" s="101"/>
      <c r="I1033" s="101"/>
      <c r="J1033" s="101"/>
      <c r="S1033" s="101"/>
      <c r="T1033" s="241"/>
      <c r="U1033" s="241"/>
      <c r="V1033" s="241"/>
      <c r="W1033" s="241"/>
      <c r="X1033" s="241"/>
      <c r="Y1033" s="241"/>
      <c r="Z1033" s="241"/>
    </row>
    <row r="1034" spans="3:26" ht="16.5">
      <c r="C1034" s="101"/>
      <c r="D1034" s="101"/>
      <c r="E1034" s="101"/>
      <c r="F1034" s="101"/>
      <c r="G1034" s="101"/>
      <c r="H1034" s="101"/>
      <c r="I1034" s="101"/>
      <c r="J1034" s="101"/>
      <c r="S1034" s="101"/>
      <c r="T1034" s="241"/>
      <c r="U1034" s="241"/>
      <c r="V1034" s="241"/>
      <c r="W1034" s="241"/>
      <c r="X1034" s="241"/>
      <c r="Y1034" s="241"/>
      <c r="Z1034" s="241"/>
    </row>
    <row r="1035" spans="3:26" ht="16.5">
      <c r="C1035" s="101"/>
      <c r="D1035" s="101"/>
      <c r="E1035" s="101"/>
      <c r="F1035" s="101"/>
      <c r="G1035" s="101"/>
      <c r="H1035" s="101"/>
      <c r="I1035" s="101"/>
      <c r="J1035" s="101"/>
      <c r="S1035" s="101"/>
      <c r="T1035" s="241"/>
      <c r="U1035" s="241"/>
      <c r="V1035" s="241"/>
      <c r="W1035" s="241"/>
      <c r="X1035" s="241"/>
      <c r="Y1035" s="241"/>
      <c r="Z1035" s="241"/>
    </row>
    <row r="1036" spans="3:26" ht="16.5">
      <c r="C1036" s="101"/>
      <c r="D1036" s="101"/>
      <c r="E1036" s="101"/>
      <c r="F1036" s="101"/>
      <c r="G1036" s="101"/>
      <c r="H1036" s="101"/>
      <c r="I1036" s="101"/>
      <c r="J1036" s="101"/>
      <c r="S1036" s="101"/>
      <c r="T1036" s="241"/>
      <c r="U1036" s="241"/>
      <c r="V1036" s="241"/>
      <c r="W1036" s="241"/>
      <c r="X1036" s="241"/>
      <c r="Y1036" s="241"/>
      <c r="Z1036" s="241"/>
    </row>
    <row r="1037" spans="3:26" ht="16.5">
      <c r="C1037" s="101"/>
      <c r="D1037" s="101"/>
      <c r="E1037" s="101"/>
      <c r="F1037" s="101"/>
      <c r="G1037" s="101"/>
      <c r="H1037" s="101"/>
      <c r="I1037" s="101"/>
      <c r="J1037" s="101"/>
      <c r="S1037" s="101"/>
      <c r="T1037" s="241"/>
      <c r="U1037" s="241"/>
      <c r="V1037" s="241"/>
      <c r="W1037" s="241"/>
      <c r="X1037" s="241"/>
      <c r="Y1037" s="241"/>
      <c r="Z1037" s="241"/>
    </row>
    <row r="1038" spans="3:26" ht="16.5">
      <c r="C1038" s="101"/>
      <c r="D1038" s="101"/>
      <c r="E1038" s="101"/>
      <c r="F1038" s="101"/>
      <c r="G1038" s="101"/>
      <c r="H1038" s="101"/>
      <c r="I1038" s="101"/>
      <c r="J1038" s="101"/>
      <c r="S1038" s="101"/>
      <c r="T1038" s="241"/>
      <c r="U1038" s="241"/>
      <c r="V1038" s="241"/>
      <c r="W1038" s="241"/>
      <c r="X1038" s="241"/>
      <c r="Y1038" s="241"/>
      <c r="Z1038" s="241"/>
    </row>
    <row r="1039" spans="3:26" ht="16.5">
      <c r="C1039" s="101"/>
      <c r="D1039" s="101"/>
      <c r="E1039" s="101"/>
      <c r="F1039" s="101"/>
      <c r="G1039" s="101"/>
      <c r="H1039" s="101"/>
      <c r="I1039" s="101"/>
      <c r="J1039" s="101"/>
      <c r="S1039" s="101"/>
      <c r="T1039" s="241"/>
      <c r="U1039" s="241"/>
      <c r="V1039" s="241"/>
      <c r="W1039" s="241"/>
      <c r="X1039" s="241"/>
      <c r="Y1039" s="241"/>
      <c r="Z1039" s="241"/>
    </row>
    <row r="1040" spans="3:26" ht="16.5">
      <c r="C1040" s="101"/>
      <c r="D1040" s="101"/>
      <c r="E1040" s="101"/>
      <c r="F1040" s="101"/>
      <c r="G1040" s="101"/>
      <c r="H1040" s="101"/>
      <c r="I1040" s="101"/>
      <c r="J1040" s="101"/>
      <c r="S1040" s="101"/>
      <c r="T1040" s="241"/>
      <c r="U1040" s="241"/>
      <c r="V1040" s="241"/>
      <c r="W1040" s="241"/>
      <c r="X1040" s="241"/>
      <c r="Y1040" s="241"/>
      <c r="Z1040" s="241"/>
    </row>
    <row r="1041" spans="3:26" ht="16.5">
      <c r="C1041" s="101"/>
      <c r="D1041" s="101"/>
      <c r="E1041" s="101"/>
      <c r="F1041" s="101"/>
      <c r="G1041" s="101"/>
      <c r="H1041" s="101"/>
      <c r="I1041" s="101"/>
      <c r="J1041" s="101"/>
      <c r="S1041" s="101"/>
      <c r="T1041" s="241"/>
      <c r="U1041" s="241"/>
      <c r="V1041" s="241"/>
      <c r="W1041" s="241"/>
      <c r="X1041" s="241"/>
      <c r="Y1041" s="241"/>
      <c r="Z1041" s="241"/>
    </row>
    <row r="1042" spans="3:26" ht="16.5">
      <c r="C1042" s="101"/>
      <c r="D1042" s="101"/>
      <c r="E1042" s="101"/>
      <c r="F1042" s="101"/>
      <c r="G1042" s="101"/>
      <c r="H1042" s="101"/>
      <c r="I1042" s="101"/>
      <c r="J1042" s="101"/>
      <c r="S1042" s="101"/>
      <c r="T1042" s="241"/>
      <c r="U1042" s="241"/>
      <c r="V1042" s="241"/>
      <c r="W1042" s="241"/>
      <c r="X1042" s="241"/>
      <c r="Y1042" s="241"/>
      <c r="Z1042" s="241"/>
    </row>
    <row r="1043" spans="3:26" ht="16.5">
      <c r="C1043" s="101"/>
      <c r="D1043" s="101"/>
      <c r="E1043" s="101"/>
      <c r="F1043" s="101"/>
      <c r="G1043" s="101"/>
      <c r="H1043" s="101"/>
      <c r="I1043" s="101"/>
      <c r="J1043" s="101"/>
      <c r="S1043" s="101"/>
      <c r="T1043" s="241"/>
      <c r="U1043" s="241"/>
      <c r="V1043" s="241"/>
      <c r="W1043" s="241"/>
      <c r="X1043" s="241"/>
      <c r="Y1043" s="241"/>
      <c r="Z1043" s="241"/>
    </row>
    <row r="1044" spans="3:26" ht="16.5">
      <c r="C1044" s="101"/>
      <c r="D1044" s="101"/>
      <c r="E1044" s="101"/>
      <c r="F1044" s="101"/>
      <c r="G1044" s="101"/>
      <c r="H1044" s="101"/>
      <c r="I1044" s="101"/>
      <c r="J1044" s="101"/>
      <c r="S1044" s="101"/>
      <c r="T1044" s="241"/>
      <c r="U1044" s="241"/>
      <c r="V1044" s="241"/>
      <c r="W1044" s="241"/>
      <c r="X1044" s="241"/>
      <c r="Y1044" s="241"/>
      <c r="Z1044" s="241"/>
    </row>
    <row r="1045" spans="3:26" ht="16.5">
      <c r="C1045" s="101"/>
      <c r="D1045" s="101"/>
      <c r="E1045" s="101"/>
      <c r="F1045" s="101"/>
      <c r="G1045" s="101"/>
      <c r="H1045" s="101"/>
      <c r="I1045" s="101"/>
      <c r="J1045" s="101"/>
      <c r="S1045" s="101"/>
      <c r="T1045" s="241"/>
      <c r="U1045" s="241"/>
      <c r="V1045" s="241"/>
      <c r="W1045" s="241"/>
      <c r="X1045" s="241"/>
      <c r="Y1045" s="241"/>
      <c r="Z1045" s="241"/>
    </row>
    <row r="1046" spans="3:26" ht="16.5">
      <c r="C1046" s="101"/>
      <c r="D1046" s="101"/>
      <c r="E1046" s="101"/>
      <c r="F1046" s="101"/>
      <c r="G1046" s="101"/>
      <c r="H1046" s="101"/>
      <c r="I1046" s="101"/>
      <c r="J1046" s="101"/>
      <c r="S1046" s="101"/>
      <c r="T1046" s="241"/>
      <c r="U1046" s="241"/>
      <c r="V1046" s="241"/>
      <c r="W1046" s="241"/>
      <c r="X1046" s="241"/>
      <c r="Y1046" s="241"/>
      <c r="Z1046" s="241"/>
    </row>
    <row r="1047" spans="3:26" ht="16.5">
      <c r="C1047" s="101"/>
      <c r="D1047" s="101"/>
      <c r="E1047" s="101"/>
      <c r="F1047" s="101"/>
      <c r="G1047" s="101"/>
      <c r="H1047" s="101"/>
      <c r="I1047" s="101"/>
      <c r="J1047" s="101"/>
      <c r="S1047" s="101"/>
      <c r="T1047" s="241"/>
      <c r="U1047" s="241"/>
      <c r="V1047" s="241"/>
      <c r="W1047" s="241"/>
      <c r="X1047" s="241"/>
      <c r="Y1047" s="241"/>
      <c r="Z1047" s="241"/>
    </row>
    <row r="1048" spans="3:26" ht="16.5">
      <c r="C1048" s="101"/>
      <c r="D1048" s="101"/>
      <c r="E1048" s="101"/>
      <c r="F1048" s="101"/>
      <c r="G1048" s="101"/>
      <c r="H1048" s="101"/>
      <c r="I1048" s="101"/>
      <c r="J1048" s="101"/>
      <c r="S1048" s="101"/>
      <c r="T1048" s="241"/>
      <c r="U1048" s="241"/>
      <c r="V1048" s="241"/>
      <c r="W1048" s="241"/>
      <c r="X1048" s="241"/>
      <c r="Y1048" s="241"/>
      <c r="Z1048" s="241"/>
    </row>
    <row r="1049" spans="3:26" ht="16.5">
      <c r="C1049" s="101"/>
      <c r="D1049" s="101"/>
      <c r="E1049" s="101"/>
      <c r="F1049" s="101"/>
      <c r="G1049" s="101"/>
      <c r="H1049" s="101"/>
      <c r="I1049" s="101"/>
      <c r="J1049" s="101"/>
      <c r="S1049" s="101"/>
      <c r="T1049" s="241"/>
      <c r="U1049" s="241"/>
      <c r="V1049" s="241"/>
      <c r="W1049" s="241"/>
      <c r="X1049" s="241"/>
      <c r="Y1049" s="241"/>
      <c r="Z1049" s="241"/>
    </row>
    <row r="1050" spans="3:26" ht="16.5">
      <c r="C1050" s="101"/>
      <c r="D1050" s="101"/>
      <c r="E1050" s="101"/>
      <c r="F1050" s="101"/>
      <c r="G1050" s="101"/>
      <c r="H1050" s="101"/>
      <c r="I1050" s="101"/>
      <c r="J1050" s="101"/>
      <c r="S1050" s="101"/>
      <c r="T1050" s="241"/>
      <c r="U1050" s="241"/>
      <c r="V1050" s="241"/>
      <c r="W1050" s="241"/>
      <c r="X1050" s="241"/>
      <c r="Y1050" s="241"/>
      <c r="Z1050" s="241"/>
    </row>
    <row r="1051" spans="3:26" ht="16.5">
      <c r="C1051" s="101"/>
      <c r="D1051" s="101"/>
      <c r="E1051" s="101"/>
      <c r="F1051" s="101"/>
      <c r="G1051" s="101"/>
      <c r="H1051" s="101"/>
      <c r="I1051" s="101"/>
      <c r="J1051" s="101"/>
      <c r="S1051" s="101"/>
      <c r="T1051" s="241"/>
      <c r="U1051" s="241"/>
      <c r="V1051" s="241"/>
      <c r="W1051" s="241"/>
      <c r="X1051" s="241"/>
      <c r="Y1051" s="241"/>
      <c r="Z1051" s="241"/>
    </row>
    <row r="1052" spans="3:26" ht="16.5">
      <c r="C1052" s="101"/>
      <c r="D1052" s="101"/>
      <c r="E1052" s="101"/>
      <c r="F1052" s="101"/>
      <c r="G1052" s="101"/>
      <c r="H1052" s="101"/>
      <c r="I1052" s="101"/>
      <c r="J1052" s="101"/>
      <c r="S1052" s="101"/>
      <c r="T1052" s="241"/>
      <c r="U1052" s="241"/>
      <c r="V1052" s="241"/>
      <c r="W1052" s="241"/>
      <c r="X1052" s="241"/>
      <c r="Y1052" s="241"/>
      <c r="Z1052" s="241"/>
    </row>
    <row r="1053" spans="3:26" ht="16.5">
      <c r="C1053" s="101"/>
      <c r="D1053" s="101"/>
      <c r="E1053" s="101"/>
      <c r="F1053" s="101"/>
      <c r="G1053" s="101"/>
      <c r="H1053" s="101"/>
      <c r="I1053" s="101"/>
      <c r="J1053" s="101"/>
      <c r="S1053" s="101"/>
      <c r="T1053" s="241"/>
      <c r="U1053" s="241"/>
      <c r="V1053" s="241"/>
      <c r="W1053" s="241"/>
      <c r="X1053" s="241"/>
      <c r="Y1053" s="241"/>
      <c r="Z1053" s="241"/>
    </row>
    <row r="1054" spans="3:26" ht="16.5">
      <c r="C1054" s="101"/>
      <c r="D1054" s="101"/>
      <c r="E1054" s="101"/>
      <c r="F1054" s="101"/>
      <c r="G1054" s="101"/>
      <c r="H1054" s="101"/>
      <c r="I1054" s="101"/>
      <c r="J1054" s="101"/>
      <c r="S1054" s="101"/>
      <c r="T1054" s="241"/>
      <c r="U1054" s="241"/>
      <c r="V1054" s="241"/>
      <c r="W1054" s="241"/>
      <c r="X1054" s="241"/>
      <c r="Y1054" s="241"/>
      <c r="Z1054" s="241"/>
    </row>
    <row r="1055" spans="3:26" ht="16.5">
      <c r="C1055" s="101"/>
      <c r="D1055" s="101"/>
      <c r="E1055" s="101"/>
      <c r="F1055" s="101"/>
      <c r="G1055" s="101"/>
      <c r="H1055" s="101"/>
      <c r="I1055" s="101"/>
      <c r="J1055" s="101"/>
      <c r="S1055" s="101"/>
      <c r="T1055" s="241"/>
      <c r="U1055" s="241"/>
      <c r="V1055" s="241"/>
      <c r="W1055" s="241"/>
      <c r="X1055" s="241"/>
      <c r="Y1055" s="241"/>
      <c r="Z1055" s="241"/>
    </row>
    <row r="1056" spans="3:26" ht="16.5">
      <c r="C1056" s="101"/>
      <c r="D1056" s="101"/>
      <c r="E1056" s="101"/>
      <c r="F1056" s="101"/>
      <c r="G1056" s="101"/>
      <c r="H1056" s="101"/>
      <c r="I1056" s="101"/>
      <c r="J1056" s="101"/>
      <c r="S1056" s="101"/>
      <c r="T1056" s="241"/>
      <c r="U1056" s="241"/>
      <c r="V1056" s="241"/>
      <c r="W1056" s="241"/>
      <c r="X1056" s="241"/>
      <c r="Y1056" s="241"/>
      <c r="Z1056" s="241"/>
    </row>
    <row r="1057" spans="3:26" ht="16.5">
      <c r="C1057" s="101"/>
      <c r="D1057" s="101"/>
      <c r="E1057" s="101"/>
      <c r="F1057" s="101"/>
      <c r="G1057" s="101"/>
      <c r="H1057" s="101"/>
      <c r="I1057" s="101"/>
      <c r="J1057" s="101"/>
      <c r="S1057" s="101"/>
      <c r="T1057" s="241"/>
      <c r="U1057" s="241"/>
      <c r="V1057" s="241"/>
      <c r="W1057" s="241"/>
      <c r="X1057" s="241"/>
      <c r="Y1057" s="241"/>
      <c r="Z1057" s="241"/>
    </row>
    <row r="1058" spans="3:26" ht="16.5">
      <c r="C1058" s="101"/>
      <c r="D1058" s="101"/>
      <c r="E1058" s="101"/>
      <c r="F1058" s="101"/>
      <c r="G1058" s="101"/>
      <c r="H1058" s="101"/>
      <c r="I1058" s="101"/>
      <c r="J1058" s="101"/>
      <c r="S1058" s="101"/>
      <c r="T1058" s="241"/>
      <c r="U1058" s="241"/>
      <c r="V1058" s="241"/>
      <c r="W1058" s="241"/>
      <c r="X1058" s="241"/>
      <c r="Y1058" s="241"/>
      <c r="Z1058" s="241"/>
    </row>
    <row r="1059" spans="3:26" ht="16.5">
      <c r="C1059" s="101"/>
      <c r="D1059" s="101"/>
      <c r="E1059" s="101"/>
      <c r="F1059" s="101"/>
      <c r="G1059" s="101"/>
      <c r="H1059" s="101"/>
      <c r="I1059" s="101"/>
      <c r="J1059" s="101"/>
      <c r="S1059" s="101"/>
      <c r="T1059" s="241"/>
      <c r="U1059" s="241"/>
      <c r="V1059" s="241"/>
      <c r="W1059" s="241"/>
      <c r="X1059" s="241"/>
      <c r="Y1059" s="241"/>
      <c r="Z1059" s="241"/>
    </row>
    <row r="1060" spans="3:26" ht="16.5">
      <c r="C1060" s="101"/>
      <c r="D1060" s="101"/>
      <c r="E1060" s="101"/>
      <c r="F1060" s="101"/>
      <c r="G1060" s="101"/>
      <c r="H1060" s="101"/>
      <c r="I1060" s="101"/>
      <c r="J1060" s="101"/>
      <c r="S1060" s="101"/>
      <c r="T1060" s="241"/>
      <c r="U1060" s="241"/>
      <c r="V1060" s="241"/>
      <c r="W1060" s="241"/>
      <c r="X1060" s="241"/>
      <c r="Y1060" s="241"/>
      <c r="Z1060" s="241"/>
    </row>
    <row r="1061" spans="3:26" ht="16.5">
      <c r="C1061" s="101"/>
      <c r="D1061" s="101"/>
      <c r="E1061" s="101"/>
      <c r="F1061" s="101"/>
      <c r="G1061" s="101"/>
      <c r="H1061" s="101"/>
      <c r="I1061" s="101"/>
      <c r="J1061" s="101"/>
      <c r="S1061" s="101"/>
      <c r="T1061" s="241"/>
      <c r="U1061" s="241"/>
      <c r="V1061" s="241"/>
      <c r="W1061" s="241"/>
      <c r="X1061" s="241"/>
      <c r="Y1061" s="241"/>
      <c r="Z1061" s="241"/>
    </row>
    <row r="1062" spans="3:26" ht="16.5">
      <c r="C1062" s="101"/>
      <c r="D1062" s="101"/>
      <c r="E1062" s="101"/>
      <c r="F1062" s="101"/>
      <c r="G1062" s="101"/>
      <c r="H1062" s="101"/>
      <c r="I1062" s="101"/>
      <c r="J1062" s="101"/>
      <c r="S1062" s="101"/>
      <c r="T1062" s="241"/>
      <c r="U1062" s="241"/>
      <c r="V1062" s="241"/>
      <c r="W1062" s="241"/>
      <c r="X1062" s="241"/>
      <c r="Y1062" s="241"/>
      <c r="Z1062" s="241"/>
    </row>
    <row r="1063" spans="3:26" ht="16.5">
      <c r="C1063" s="101"/>
      <c r="D1063" s="101"/>
      <c r="E1063" s="101"/>
      <c r="F1063" s="101"/>
      <c r="G1063" s="101"/>
      <c r="H1063" s="101"/>
      <c r="I1063" s="101"/>
      <c r="J1063" s="101"/>
      <c r="S1063" s="101"/>
      <c r="T1063" s="241"/>
      <c r="U1063" s="241"/>
      <c r="V1063" s="241"/>
      <c r="W1063" s="241"/>
      <c r="X1063" s="241"/>
      <c r="Y1063" s="241"/>
      <c r="Z1063" s="241"/>
    </row>
    <row r="1064" spans="3:26" ht="16.5">
      <c r="C1064" s="101"/>
      <c r="D1064" s="101"/>
      <c r="E1064" s="101"/>
      <c r="F1064" s="101"/>
      <c r="G1064" s="101"/>
      <c r="H1064" s="101"/>
      <c r="I1064" s="101"/>
      <c r="J1064" s="101"/>
      <c r="S1064" s="101"/>
      <c r="T1064" s="241"/>
      <c r="U1064" s="241"/>
      <c r="V1064" s="241"/>
      <c r="W1064" s="241"/>
      <c r="X1064" s="241"/>
      <c r="Y1064" s="241"/>
      <c r="Z1064" s="241"/>
    </row>
    <row r="1065" spans="3:26" ht="16.5">
      <c r="C1065" s="101"/>
      <c r="D1065" s="101"/>
      <c r="E1065" s="101"/>
      <c r="F1065" s="101"/>
      <c r="G1065" s="101"/>
      <c r="H1065" s="101"/>
      <c r="I1065" s="101"/>
      <c r="J1065" s="101"/>
      <c r="S1065" s="101"/>
      <c r="T1065" s="241"/>
      <c r="U1065" s="241"/>
      <c r="V1065" s="241"/>
      <c r="W1065" s="241"/>
      <c r="X1065" s="241"/>
      <c r="Y1065" s="241"/>
      <c r="Z1065" s="241"/>
    </row>
    <row r="1066" spans="3:26" ht="16.5">
      <c r="C1066" s="101"/>
      <c r="D1066" s="101"/>
      <c r="E1066" s="101"/>
      <c r="F1066" s="101"/>
      <c r="G1066" s="101"/>
      <c r="H1066" s="101"/>
      <c r="I1066" s="101"/>
      <c r="J1066" s="101"/>
      <c r="S1066" s="101"/>
      <c r="T1066" s="241"/>
      <c r="U1066" s="241"/>
      <c r="V1066" s="241"/>
      <c r="W1066" s="241"/>
      <c r="X1066" s="241"/>
      <c r="Y1066" s="241"/>
      <c r="Z1066" s="241"/>
    </row>
    <row r="1067" spans="3:26" ht="16.5">
      <c r="C1067" s="101"/>
      <c r="D1067" s="101"/>
      <c r="E1067" s="101"/>
      <c r="F1067" s="101"/>
      <c r="G1067" s="101"/>
      <c r="H1067" s="101"/>
      <c r="I1067" s="101"/>
      <c r="J1067" s="101"/>
      <c r="S1067" s="101"/>
      <c r="T1067" s="241"/>
      <c r="U1067" s="241"/>
      <c r="V1067" s="241"/>
      <c r="W1067" s="241"/>
      <c r="X1067" s="241"/>
      <c r="Y1067" s="241"/>
      <c r="Z1067" s="241"/>
    </row>
    <row r="1068" spans="3:26" ht="16.5">
      <c r="C1068" s="101"/>
      <c r="D1068" s="101"/>
      <c r="E1068" s="101"/>
      <c r="F1068" s="101"/>
      <c r="G1068" s="101"/>
      <c r="H1068" s="101"/>
      <c r="I1068" s="101"/>
      <c r="J1068" s="101"/>
      <c r="S1068" s="101"/>
      <c r="T1068" s="241"/>
      <c r="U1068" s="241"/>
      <c r="V1068" s="241"/>
      <c r="W1068" s="241"/>
      <c r="X1068" s="241"/>
      <c r="Y1068" s="241"/>
      <c r="Z1068" s="241"/>
    </row>
    <row r="1069" spans="3:26" ht="16.5">
      <c r="C1069" s="101"/>
      <c r="D1069" s="101"/>
      <c r="E1069" s="101"/>
      <c r="F1069" s="101"/>
      <c r="G1069" s="101"/>
      <c r="H1069" s="101"/>
      <c r="I1069" s="101"/>
      <c r="J1069" s="101"/>
      <c r="S1069" s="101"/>
      <c r="T1069" s="241"/>
      <c r="U1069" s="241"/>
      <c r="V1069" s="241"/>
      <c r="W1069" s="241"/>
      <c r="X1069" s="241"/>
      <c r="Y1069" s="241"/>
      <c r="Z1069" s="241"/>
    </row>
    <row r="1070" spans="3:26" ht="16.5">
      <c r="C1070" s="101"/>
      <c r="D1070" s="101"/>
      <c r="E1070" s="101"/>
      <c r="F1070" s="101"/>
      <c r="G1070" s="101"/>
      <c r="H1070" s="101"/>
      <c r="I1070" s="101"/>
      <c r="J1070" s="101"/>
      <c r="S1070" s="101"/>
      <c r="T1070" s="241"/>
      <c r="U1070" s="241"/>
      <c r="V1070" s="241"/>
      <c r="W1070" s="241"/>
      <c r="X1070" s="241"/>
      <c r="Y1070" s="241"/>
      <c r="Z1070" s="241"/>
    </row>
    <row r="1071" spans="3:26" ht="16.5">
      <c r="C1071" s="101"/>
      <c r="D1071" s="101"/>
      <c r="E1071" s="101"/>
      <c r="F1071" s="101"/>
      <c r="G1071" s="101"/>
      <c r="H1071" s="101"/>
      <c r="I1071" s="101"/>
      <c r="J1071" s="101"/>
      <c r="S1071" s="101"/>
      <c r="T1071" s="241"/>
      <c r="U1071" s="241"/>
      <c r="V1071" s="241"/>
      <c r="W1071" s="241"/>
      <c r="X1071" s="241"/>
      <c r="Y1071" s="241"/>
      <c r="Z1071" s="241"/>
    </row>
    <row r="1072" spans="3:26" ht="16.5">
      <c r="C1072" s="101"/>
      <c r="D1072" s="101"/>
      <c r="E1072" s="101"/>
      <c r="F1072" s="101"/>
      <c r="G1072" s="101"/>
      <c r="H1072" s="101"/>
      <c r="I1072" s="101"/>
      <c r="J1072" s="101"/>
      <c r="S1072" s="101"/>
      <c r="T1072" s="241"/>
      <c r="U1072" s="241"/>
      <c r="V1072" s="241"/>
      <c r="W1072" s="241"/>
      <c r="X1072" s="241"/>
      <c r="Y1072" s="241"/>
      <c r="Z1072" s="241"/>
    </row>
    <row r="1073" spans="3:26" ht="16.5">
      <c r="C1073" s="101"/>
      <c r="D1073" s="101"/>
      <c r="E1073" s="101"/>
      <c r="F1073" s="101"/>
      <c r="G1073" s="101"/>
      <c r="H1073" s="101"/>
      <c r="I1073" s="101"/>
      <c r="J1073" s="101"/>
      <c r="S1073" s="101"/>
      <c r="T1073" s="241"/>
      <c r="U1073" s="241"/>
      <c r="V1073" s="241"/>
      <c r="W1073" s="241"/>
      <c r="X1073" s="241"/>
      <c r="Y1073" s="241"/>
      <c r="Z1073" s="241"/>
    </row>
    <row r="1074" spans="3:26" ht="16.5">
      <c r="C1074" s="101"/>
      <c r="D1074" s="101"/>
      <c r="E1074" s="101"/>
      <c r="F1074" s="101"/>
      <c r="G1074" s="101"/>
      <c r="H1074" s="101"/>
      <c r="I1074" s="101"/>
      <c r="J1074" s="101"/>
      <c r="S1074" s="101"/>
      <c r="T1074" s="241"/>
      <c r="U1074" s="241"/>
      <c r="V1074" s="241"/>
      <c r="W1074" s="241"/>
      <c r="X1074" s="241"/>
      <c r="Y1074" s="241"/>
      <c r="Z1074" s="241"/>
    </row>
    <row r="1075" spans="3:26" ht="16.5">
      <c r="C1075" s="101"/>
      <c r="D1075" s="101"/>
      <c r="E1075" s="101"/>
      <c r="F1075" s="101"/>
      <c r="G1075" s="101"/>
      <c r="H1075" s="101"/>
      <c r="I1075" s="101"/>
      <c r="J1075" s="101"/>
      <c r="S1075" s="101"/>
      <c r="T1075" s="241"/>
      <c r="U1075" s="241"/>
      <c r="V1075" s="241"/>
      <c r="W1075" s="241"/>
      <c r="X1075" s="241"/>
      <c r="Y1075" s="241"/>
      <c r="Z1075" s="241"/>
    </row>
    <row r="1076" spans="3:26" ht="16.5">
      <c r="C1076" s="101"/>
      <c r="D1076" s="101"/>
      <c r="E1076" s="101"/>
      <c r="F1076" s="101"/>
      <c r="G1076" s="101"/>
      <c r="H1076" s="101"/>
      <c r="I1076" s="101"/>
      <c r="J1076" s="101"/>
      <c r="S1076" s="101"/>
      <c r="T1076" s="241"/>
      <c r="U1076" s="241"/>
      <c r="V1076" s="241"/>
      <c r="W1076" s="241"/>
      <c r="X1076" s="241"/>
      <c r="Y1076" s="241"/>
      <c r="Z1076" s="241"/>
    </row>
    <row r="1077" spans="3:26" ht="16.5">
      <c r="C1077" s="101"/>
      <c r="D1077" s="101"/>
      <c r="E1077" s="101"/>
      <c r="F1077" s="101"/>
      <c r="G1077" s="101"/>
      <c r="H1077" s="101"/>
      <c r="I1077" s="101"/>
      <c r="J1077" s="101"/>
      <c r="S1077" s="101"/>
      <c r="T1077" s="241"/>
      <c r="U1077" s="241"/>
      <c r="V1077" s="241"/>
      <c r="W1077" s="241"/>
      <c r="X1077" s="241"/>
      <c r="Y1077" s="241"/>
      <c r="Z1077" s="241"/>
    </row>
    <row r="1078" spans="3:26" ht="16.5">
      <c r="C1078" s="101"/>
      <c r="D1078" s="101"/>
      <c r="E1078" s="101"/>
      <c r="F1078" s="101"/>
      <c r="G1078" s="101"/>
      <c r="H1078" s="101"/>
      <c r="I1078" s="101"/>
      <c r="J1078" s="101"/>
      <c r="S1078" s="101"/>
      <c r="T1078" s="241"/>
      <c r="U1078" s="241"/>
      <c r="V1078" s="241"/>
      <c r="W1078" s="241"/>
      <c r="X1078" s="241"/>
      <c r="Y1078" s="241"/>
      <c r="Z1078" s="241"/>
    </row>
    <row r="1079" spans="3:26" ht="16.5">
      <c r="C1079" s="101"/>
      <c r="D1079" s="101"/>
      <c r="E1079" s="101"/>
      <c r="F1079" s="101"/>
      <c r="G1079" s="101"/>
      <c r="H1079" s="101"/>
      <c r="I1079" s="101"/>
      <c r="J1079" s="101"/>
      <c r="S1079" s="101"/>
      <c r="T1079" s="241"/>
      <c r="U1079" s="241"/>
      <c r="V1079" s="241"/>
      <c r="W1079" s="241"/>
      <c r="X1079" s="241"/>
      <c r="Y1079" s="241"/>
      <c r="Z1079" s="241"/>
    </row>
    <row r="1080" spans="3:26" ht="16.5">
      <c r="C1080" s="101"/>
      <c r="D1080" s="101"/>
      <c r="E1080" s="101"/>
      <c r="F1080" s="101"/>
      <c r="G1080" s="101"/>
      <c r="H1080" s="101"/>
      <c r="I1080" s="101"/>
      <c r="J1080" s="101"/>
      <c r="S1080" s="101"/>
      <c r="T1080" s="241"/>
      <c r="U1080" s="241"/>
      <c r="V1080" s="241"/>
      <c r="W1080" s="241"/>
      <c r="X1080" s="241"/>
      <c r="Y1080" s="241"/>
      <c r="Z1080" s="241"/>
    </row>
    <row r="1081" spans="3:26" ht="16.5">
      <c r="C1081" s="101"/>
      <c r="D1081" s="101"/>
      <c r="E1081" s="101"/>
      <c r="F1081" s="101"/>
      <c r="G1081" s="101"/>
      <c r="H1081" s="101"/>
      <c r="I1081" s="101"/>
      <c r="J1081" s="101"/>
      <c r="S1081" s="101"/>
      <c r="T1081" s="241"/>
      <c r="U1081" s="241"/>
      <c r="V1081" s="241"/>
      <c r="W1081" s="241"/>
      <c r="X1081" s="241"/>
      <c r="Y1081" s="241"/>
      <c r="Z1081" s="241"/>
    </row>
    <row r="1082" spans="3:26" ht="16.5">
      <c r="C1082" s="101"/>
      <c r="D1082" s="101"/>
      <c r="E1082" s="101"/>
      <c r="F1082" s="101"/>
      <c r="G1082" s="101"/>
      <c r="H1082" s="101"/>
      <c r="I1082" s="101"/>
      <c r="J1082" s="101"/>
      <c r="S1082" s="101"/>
      <c r="T1082" s="241"/>
      <c r="U1082" s="241"/>
      <c r="V1082" s="241"/>
      <c r="W1082" s="241"/>
      <c r="X1082" s="241"/>
      <c r="Y1082" s="241"/>
      <c r="Z1082" s="241"/>
    </row>
    <row r="1083" spans="3:26" ht="16.5">
      <c r="C1083" s="101"/>
      <c r="D1083" s="101"/>
      <c r="E1083" s="101"/>
      <c r="F1083" s="101"/>
      <c r="G1083" s="101"/>
      <c r="H1083" s="101"/>
      <c r="I1083" s="101"/>
      <c r="J1083" s="101"/>
      <c r="S1083" s="101"/>
      <c r="T1083" s="241"/>
      <c r="U1083" s="241"/>
      <c r="V1083" s="241"/>
      <c r="W1083" s="241"/>
      <c r="X1083" s="241"/>
      <c r="Y1083" s="241"/>
      <c r="Z1083" s="241"/>
    </row>
    <row r="1084" spans="3:26" ht="16.5">
      <c r="C1084" s="101"/>
      <c r="D1084" s="101"/>
      <c r="E1084" s="101"/>
      <c r="F1084" s="101"/>
      <c r="G1084" s="101"/>
      <c r="H1084" s="101"/>
      <c r="I1084" s="101"/>
      <c r="J1084" s="101"/>
      <c r="S1084" s="101"/>
      <c r="T1084" s="241"/>
      <c r="U1084" s="241"/>
      <c r="V1084" s="241"/>
      <c r="W1084" s="241"/>
      <c r="X1084" s="241"/>
      <c r="Y1084" s="241"/>
      <c r="Z1084" s="241"/>
    </row>
    <row r="1085" spans="3:26" ht="16.5">
      <c r="C1085" s="101"/>
      <c r="D1085" s="101"/>
      <c r="E1085" s="101"/>
      <c r="F1085" s="101"/>
      <c r="G1085" s="101"/>
      <c r="H1085" s="101"/>
      <c r="I1085" s="101"/>
      <c r="J1085" s="101"/>
      <c r="S1085" s="101"/>
      <c r="T1085" s="241"/>
      <c r="U1085" s="241"/>
      <c r="V1085" s="241"/>
      <c r="W1085" s="241"/>
      <c r="X1085" s="241"/>
      <c r="Y1085" s="241"/>
      <c r="Z1085" s="241"/>
    </row>
    <row r="1086" spans="3:26" ht="16.5">
      <c r="C1086" s="101"/>
      <c r="D1086" s="101"/>
      <c r="E1086" s="101"/>
      <c r="F1086" s="101"/>
      <c r="G1086" s="101"/>
      <c r="H1086" s="101"/>
      <c r="I1086" s="101"/>
      <c r="J1086" s="101"/>
      <c r="S1086" s="101"/>
      <c r="T1086" s="241"/>
      <c r="U1086" s="241"/>
      <c r="V1086" s="241"/>
      <c r="W1086" s="241"/>
      <c r="X1086" s="241"/>
      <c r="Y1086" s="241"/>
      <c r="Z1086" s="241"/>
    </row>
    <row r="1087" spans="3:26" ht="16.5">
      <c r="C1087" s="101"/>
      <c r="D1087" s="101"/>
      <c r="E1087" s="101"/>
      <c r="F1087" s="101"/>
      <c r="G1087" s="101"/>
      <c r="H1087" s="101"/>
      <c r="I1087" s="101"/>
      <c r="J1087" s="101"/>
      <c r="S1087" s="101"/>
      <c r="T1087" s="241"/>
      <c r="U1087" s="241"/>
      <c r="V1087" s="241"/>
      <c r="W1087" s="241"/>
      <c r="X1087" s="241"/>
      <c r="Y1087" s="241"/>
      <c r="Z1087" s="241"/>
    </row>
    <row r="1088" spans="3:26" ht="16.5">
      <c r="C1088" s="101"/>
      <c r="D1088" s="101"/>
      <c r="E1088" s="101"/>
      <c r="F1088" s="101"/>
      <c r="G1088" s="101"/>
      <c r="H1088" s="101"/>
      <c r="I1088" s="101"/>
      <c r="J1088" s="101"/>
      <c r="S1088" s="101"/>
      <c r="T1088" s="241"/>
      <c r="U1088" s="241"/>
      <c r="V1088" s="241"/>
      <c r="W1088" s="241"/>
      <c r="X1088" s="241"/>
      <c r="Y1088" s="241"/>
      <c r="Z1088" s="241"/>
    </row>
    <row r="1089" spans="3:26" ht="16.5">
      <c r="C1089" s="101"/>
      <c r="D1089" s="101"/>
      <c r="E1089" s="101"/>
      <c r="F1089" s="101"/>
      <c r="G1089" s="101"/>
      <c r="H1089" s="101"/>
      <c r="I1089" s="101"/>
      <c r="J1089" s="101"/>
      <c r="S1089" s="101"/>
      <c r="T1089" s="241"/>
      <c r="U1089" s="241"/>
      <c r="V1089" s="241"/>
      <c r="W1089" s="241"/>
      <c r="X1089" s="241"/>
      <c r="Y1089" s="241"/>
      <c r="Z1089" s="241"/>
    </row>
    <row r="1090" spans="3:26" ht="16.5">
      <c r="C1090" s="101"/>
      <c r="D1090" s="101"/>
      <c r="E1090" s="101"/>
      <c r="F1090" s="101"/>
      <c r="G1090" s="101"/>
      <c r="H1090" s="101"/>
      <c r="I1090" s="101"/>
      <c r="J1090" s="101"/>
      <c r="S1090" s="101"/>
      <c r="T1090" s="241"/>
      <c r="U1090" s="241"/>
      <c r="V1090" s="241"/>
      <c r="W1090" s="241"/>
      <c r="X1090" s="241"/>
      <c r="Y1090" s="241"/>
      <c r="Z1090" s="241"/>
    </row>
    <row r="1091" spans="3:26" ht="16.5">
      <c r="C1091" s="101"/>
      <c r="D1091" s="101"/>
      <c r="E1091" s="101"/>
      <c r="F1091" s="101"/>
      <c r="G1091" s="101"/>
      <c r="H1091" s="101"/>
      <c r="I1091" s="101"/>
      <c r="J1091" s="101"/>
      <c r="S1091" s="101"/>
      <c r="T1091" s="241"/>
      <c r="U1091" s="241"/>
      <c r="V1091" s="241"/>
      <c r="W1091" s="241"/>
      <c r="X1091" s="241"/>
      <c r="Y1091" s="241"/>
      <c r="Z1091" s="241"/>
    </row>
    <row r="1092" spans="3:26" ht="16.5">
      <c r="C1092" s="101"/>
      <c r="D1092" s="101"/>
      <c r="E1092" s="101"/>
      <c r="F1092" s="101"/>
      <c r="G1092" s="101"/>
      <c r="H1092" s="101"/>
      <c r="I1092" s="101"/>
      <c r="J1092" s="101"/>
      <c r="S1092" s="101"/>
      <c r="T1092" s="241"/>
      <c r="U1092" s="241"/>
      <c r="V1092" s="241"/>
      <c r="W1092" s="241"/>
      <c r="X1092" s="241"/>
      <c r="Y1092" s="241"/>
      <c r="Z1092" s="241"/>
    </row>
    <row r="1093" spans="3:26" ht="16.5">
      <c r="C1093" s="101"/>
      <c r="D1093" s="101"/>
      <c r="E1093" s="101"/>
      <c r="F1093" s="101"/>
      <c r="G1093" s="101"/>
      <c r="H1093" s="101"/>
      <c r="I1093" s="101"/>
      <c r="J1093" s="101"/>
      <c r="S1093" s="101"/>
      <c r="T1093" s="241"/>
      <c r="U1093" s="241"/>
      <c r="V1093" s="241"/>
      <c r="W1093" s="241"/>
      <c r="X1093" s="241"/>
      <c r="Y1093" s="241"/>
      <c r="Z1093" s="241"/>
    </row>
    <row r="1094" spans="3:26" ht="16.5">
      <c r="C1094" s="101"/>
      <c r="D1094" s="101"/>
      <c r="E1094" s="101"/>
      <c r="F1094" s="101"/>
      <c r="G1094" s="101"/>
      <c r="H1094" s="101"/>
      <c r="I1094" s="101"/>
      <c r="J1094" s="101"/>
      <c r="S1094" s="101"/>
      <c r="T1094" s="241"/>
      <c r="U1094" s="241"/>
      <c r="V1094" s="241"/>
      <c r="W1094" s="241"/>
      <c r="X1094" s="241"/>
      <c r="Y1094" s="241"/>
      <c r="Z1094" s="241"/>
    </row>
    <row r="1095" spans="3:26" ht="16.5">
      <c r="C1095" s="101"/>
      <c r="D1095" s="101"/>
      <c r="E1095" s="101"/>
      <c r="F1095" s="101"/>
      <c r="G1095" s="101"/>
      <c r="H1095" s="101"/>
      <c r="I1095" s="101"/>
      <c r="J1095" s="101"/>
      <c r="S1095" s="101"/>
      <c r="T1095" s="241"/>
      <c r="U1095" s="241"/>
      <c r="V1095" s="241"/>
      <c r="W1095" s="241"/>
      <c r="X1095" s="241"/>
      <c r="Y1095" s="241"/>
      <c r="Z1095" s="241"/>
    </row>
    <row r="1096" spans="3:26" ht="16.5">
      <c r="C1096" s="101"/>
      <c r="D1096" s="101"/>
      <c r="E1096" s="101"/>
      <c r="F1096" s="101"/>
      <c r="G1096" s="101"/>
      <c r="H1096" s="101"/>
      <c r="I1096" s="101"/>
      <c r="J1096" s="101"/>
      <c r="S1096" s="101"/>
      <c r="T1096" s="241"/>
      <c r="U1096" s="241"/>
      <c r="V1096" s="241"/>
      <c r="W1096" s="241"/>
      <c r="X1096" s="241"/>
      <c r="Y1096" s="241"/>
      <c r="Z1096" s="241"/>
    </row>
    <row r="1097" spans="3:26" ht="16.5">
      <c r="C1097" s="101"/>
      <c r="D1097" s="101"/>
      <c r="E1097" s="101"/>
      <c r="F1097" s="101"/>
      <c r="G1097" s="101"/>
      <c r="H1097" s="101"/>
      <c r="I1097" s="101"/>
      <c r="J1097" s="101"/>
      <c r="S1097" s="101"/>
      <c r="T1097" s="241"/>
      <c r="U1097" s="241"/>
      <c r="V1097" s="241"/>
      <c r="W1097" s="241"/>
      <c r="X1097" s="241"/>
      <c r="Y1097" s="241"/>
      <c r="Z1097" s="241"/>
    </row>
    <row r="1098" spans="3:26" ht="16.5">
      <c r="C1098" s="101"/>
      <c r="D1098" s="101"/>
      <c r="E1098" s="101"/>
      <c r="F1098" s="101"/>
      <c r="G1098" s="101"/>
      <c r="H1098" s="101"/>
      <c r="I1098" s="101"/>
      <c r="J1098" s="101"/>
      <c r="S1098" s="101"/>
      <c r="T1098" s="241"/>
      <c r="U1098" s="241"/>
      <c r="V1098" s="241"/>
      <c r="W1098" s="241"/>
      <c r="X1098" s="241"/>
      <c r="Y1098" s="241"/>
      <c r="Z1098" s="241"/>
    </row>
    <row r="1099" spans="3:26" ht="16.5">
      <c r="C1099" s="101"/>
      <c r="D1099" s="101"/>
      <c r="E1099" s="101"/>
      <c r="F1099" s="101"/>
      <c r="G1099" s="101"/>
      <c r="H1099" s="101"/>
      <c r="I1099" s="101"/>
      <c r="J1099" s="101"/>
      <c r="S1099" s="101"/>
      <c r="T1099" s="241"/>
      <c r="U1099" s="241"/>
      <c r="V1099" s="241"/>
      <c r="W1099" s="241"/>
      <c r="X1099" s="241"/>
      <c r="Y1099" s="241"/>
      <c r="Z1099" s="241"/>
    </row>
    <row r="1100" spans="3:26" ht="16.5">
      <c r="C1100" s="101"/>
      <c r="D1100" s="101"/>
      <c r="E1100" s="101"/>
      <c r="F1100" s="101"/>
      <c r="G1100" s="101"/>
      <c r="H1100" s="101"/>
      <c r="I1100" s="101"/>
      <c r="J1100" s="101"/>
      <c r="S1100" s="101"/>
      <c r="T1100" s="241"/>
      <c r="U1100" s="241"/>
      <c r="V1100" s="241"/>
      <c r="W1100" s="241"/>
      <c r="X1100" s="241"/>
      <c r="Y1100" s="241"/>
      <c r="Z1100" s="241"/>
    </row>
    <row r="1101" spans="3:26" ht="16.5">
      <c r="C1101" s="101"/>
      <c r="D1101" s="101"/>
      <c r="E1101" s="101"/>
      <c r="F1101" s="101"/>
      <c r="G1101" s="101"/>
      <c r="H1101" s="101"/>
      <c r="I1101" s="101"/>
      <c r="J1101" s="101"/>
      <c r="S1101" s="101"/>
      <c r="T1101" s="241"/>
      <c r="U1101" s="241"/>
      <c r="V1101" s="241"/>
      <c r="W1101" s="241"/>
      <c r="X1101" s="241"/>
      <c r="Y1101" s="241"/>
      <c r="Z1101" s="241"/>
    </row>
    <row r="1102" spans="3:26" ht="16.5">
      <c r="C1102" s="101"/>
      <c r="D1102" s="101"/>
      <c r="E1102" s="101"/>
      <c r="F1102" s="101"/>
      <c r="G1102" s="101"/>
      <c r="H1102" s="101"/>
      <c r="I1102" s="101"/>
      <c r="J1102" s="101"/>
      <c r="S1102" s="101"/>
      <c r="T1102" s="241"/>
      <c r="U1102" s="241"/>
      <c r="V1102" s="241"/>
      <c r="W1102" s="241"/>
      <c r="X1102" s="241"/>
      <c r="Y1102" s="241"/>
      <c r="Z1102" s="241"/>
    </row>
    <row r="1103" spans="3:26" ht="16.5">
      <c r="C1103" s="101"/>
      <c r="D1103" s="101"/>
      <c r="E1103" s="101"/>
      <c r="F1103" s="101"/>
      <c r="G1103" s="101"/>
      <c r="H1103" s="101"/>
      <c r="I1103" s="101"/>
      <c r="J1103" s="101"/>
      <c r="S1103" s="101"/>
      <c r="T1103" s="241"/>
      <c r="U1103" s="241"/>
      <c r="V1103" s="241"/>
      <c r="W1103" s="241"/>
      <c r="X1103" s="241"/>
      <c r="Y1103" s="241"/>
      <c r="Z1103" s="241"/>
    </row>
    <row r="1104" spans="3:26" ht="16.5">
      <c r="C1104" s="101"/>
      <c r="D1104" s="101"/>
      <c r="E1104" s="101"/>
      <c r="F1104" s="101"/>
      <c r="G1104" s="101"/>
      <c r="H1104" s="101"/>
      <c r="I1104" s="101"/>
      <c r="J1104" s="101"/>
      <c r="S1104" s="101"/>
      <c r="T1104" s="241"/>
      <c r="U1104" s="241"/>
      <c r="V1104" s="241"/>
      <c r="W1104" s="241"/>
      <c r="X1104" s="241"/>
      <c r="Y1104" s="241"/>
      <c r="Z1104" s="241"/>
    </row>
    <row r="1105" spans="3:26" ht="16.5">
      <c r="C1105" s="101"/>
      <c r="D1105" s="101"/>
      <c r="E1105" s="101"/>
      <c r="F1105" s="101"/>
      <c r="G1105" s="101"/>
      <c r="H1105" s="101"/>
      <c r="I1105" s="101"/>
      <c r="J1105" s="101"/>
      <c r="S1105" s="101"/>
      <c r="T1105" s="241"/>
      <c r="U1105" s="241"/>
      <c r="V1105" s="241"/>
      <c r="W1105" s="241"/>
      <c r="X1105" s="241"/>
      <c r="Y1105" s="241"/>
      <c r="Z1105" s="241"/>
    </row>
    <row r="1106" spans="3:26" ht="16.5">
      <c r="C1106" s="101"/>
      <c r="D1106" s="101"/>
      <c r="E1106" s="101"/>
      <c r="F1106" s="101"/>
      <c r="G1106" s="101"/>
      <c r="H1106" s="101"/>
      <c r="I1106" s="101"/>
      <c r="J1106" s="101"/>
      <c r="S1106" s="101"/>
      <c r="T1106" s="241"/>
      <c r="U1106" s="241"/>
      <c r="V1106" s="241"/>
      <c r="W1106" s="241"/>
      <c r="X1106" s="241"/>
      <c r="Y1106" s="241"/>
      <c r="Z1106" s="241"/>
    </row>
    <row r="1107" spans="3:26" ht="16.5">
      <c r="C1107" s="101"/>
      <c r="D1107" s="101"/>
      <c r="E1107" s="101"/>
      <c r="F1107" s="101"/>
      <c r="G1107" s="101"/>
      <c r="H1107" s="101"/>
      <c r="I1107" s="101"/>
      <c r="J1107" s="101"/>
      <c r="S1107" s="101"/>
      <c r="T1107" s="241"/>
      <c r="U1107" s="241"/>
      <c r="V1107" s="241"/>
      <c r="W1107" s="241"/>
      <c r="X1107" s="241"/>
      <c r="Y1107" s="241"/>
      <c r="Z1107" s="241"/>
    </row>
    <row r="1108" spans="3:26" ht="16.5">
      <c r="C1108" s="101"/>
      <c r="D1108" s="101"/>
      <c r="E1108" s="101"/>
      <c r="F1108" s="101"/>
      <c r="G1108" s="101"/>
      <c r="H1108" s="101"/>
      <c r="I1108" s="101"/>
      <c r="J1108" s="101"/>
      <c r="S1108" s="101"/>
      <c r="T1108" s="241"/>
      <c r="U1108" s="241"/>
      <c r="V1108" s="241"/>
      <c r="W1108" s="241"/>
      <c r="X1108" s="241"/>
      <c r="Y1108" s="241"/>
      <c r="Z1108" s="241"/>
    </row>
    <row r="1109" spans="3:26" ht="16.5">
      <c r="C1109" s="101"/>
      <c r="D1109" s="101"/>
      <c r="E1109" s="101"/>
      <c r="F1109" s="101"/>
      <c r="G1109" s="101"/>
      <c r="H1109" s="101"/>
      <c r="I1109" s="101"/>
      <c r="J1109" s="101"/>
      <c r="S1109" s="101"/>
      <c r="T1109" s="241"/>
      <c r="U1109" s="241"/>
      <c r="V1109" s="241"/>
      <c r="W1109" s="241"/>
      <c r="X1109" s="241"/>
      <c r="Y1109" s="241"/>
      <c r="Z1109" s="241"/>
    </row>
    <row r="1110" spans="3:26" ht="16.5">
      <c r="C1110" s="101"/>
      <c r="D1110" s="101"/>
      <c r="E1110" s="101"/>
      <c r="F1110" s="101"/>
      <c r="G1110" s="101"/>
      <c r="H1110" s="101"/>
      <c r="I1110" s="101"/>
      <c r="J1110" s="101"/>
      <c r="S1110" s="101"/>
      <c r="T1110" s="241"/>
      <c r="U1110" s="241"/>
      <c r="V1110" s="241"/>
      <c r="W1110" s="241"/>
      <c r="X1110" s="241"/>
      <c r="Y1110" s="241"/>
      <c r="Z1110" s="241"/>
    </row>
    <row r="1111" spans="3:26" ht="16.5">
      <c r="C1111" s="101"/>
      <c r="D1111" s="101"/>
      <c r="E1111" s="101"/>
      <c r="F1111" s="101"/>
      <c r="G1111" s="101"/>
      <c r="H1111" s="101"/>
      <c r="I1111" s="101"/>
      <c r="J1111" s="101"/>
      <c r="S1111" s="101"/>
      <c r="T1111" s="241"/>
      <c r="U1111" s="241"/>
      <c r="V1111" s="241"/>
      <c r="W1111" s="241"/>
      <c r="X1111" s="241"/>
      <c r="Y1111" s="241"/>
      <c r="Z1111" s="241"/>
    </row>
    <row r="1112" spans="3:26" ht="16.5">
      <c r="C1112" s="101"/>
      <c r="D1112" s="101"/>
      <c r="E1112" s="101"/>
      <c r="F1112" s="101"/>
      <c r="G1112" s="101"/>
      <c r="H1112" s="101"/>
      <c r="I1112" s="101"/>
      <c r="J1112" s="101"/>
      <c r="S1112" s="101"/>
      <c r="T1112" s="241"/>
      <c r="U1112" s="241"/>
      <c r="V1112" s="241"/>
      <c r="W1112" s="241"/>
      <c r="X1112" s="241"/>
      <c r="Y1112" s="241"/>
      <c r="Z1112" s="241"/>
    </row>
    <row r="1113" spans="3:26" ht="16.5">
      <c r="C1113" s="101"/>
      <c r="D1113" s="101"/>
      <c r="E1113" s="101"/>
      <c r="F1113" s="101"/>
      <c r="G1113" s="101"/>
      <c r="H1113" s="101"/>
      <c r="I1113" s="101"/>
      <c r="J1113" s="101"/>
      <c r="S1113" s="101"/>
      <c r="T1113" s="241"/>
      <c r="U1113" s="241"/>
      <c r="V1113" s="241"/>
      <c r="W1113" s="241"/>
      <c r="X1113" s="241"/>
      <c r="Y1113" s="241"/>
      <c r="Z1113" s="241"/>
    </row>
    <row r="1114" spans="3:26" ht="16.5">
      <c r="C1114" s="101"/>
      <c r="D1114" s="101"/>
      <c r="E1114" s="101"/>
      <c r="F1114" s="101"/>
      <c r="G1114" s="101"/>
      <c r="H1114" s="101"/>
      <c r="I1114" s="101"/>
      <c r="J1114" s="101"/>
      <c r="S1114" s="101"/>
      <c r="T1114" s="241"/>
      <c r="U1114" s="241"/>
      <c r="V1114" s="241"/>
      <c r="W1114" s="241"/>
      <c r="X1114" s="241"/>
      <c r="Y1114" s="241"/>
      <c r="Z1114" s="241"/>
    </row>
    <row r="1115" spans="3:26" ht="16.5">
      <c r="C1115" s="101"/>
      <c r="D1115" s="101"/>
      <c r="E1115" s="101"/>
      <c r="F1115" s="101"/>
      <c r="G1115" s="101"/>
      <c r="H1115" s="101"/>
      <c r="I1115" s="101"/>
      <c r="J1115" s="101"/>
      <c r="S1115" s="101"/>
      <c r="T1115" s="241"/>
      <c r="U1115" s="241"/>
      <c r="V1115" s="241"/>
      <c r="W1115" s="241"/>
      <c r="X1115" s="241"/>
      <c r="Y1115" s="241"/>
      <c r="Z1115" s="241"/>
    </row>
    <row r="1116" spans="3:26" ht="16.5">
      <c r="C1116" s="101"/>
      <c r="D1116" s="101"/>
      <c r="E1116" s="101"/>
      <c r="F1116" s="101"/>
      <c r="G1116" s="101"/>
      <c r="H1116" s="101"/>
      <c r="I1116" s="101"/>
      <c r="J1116" s="101"/>
      <c r="S1116" s="101"/>
      <c r="T1116" s="241"/>
      <c r="U1116" s="241"/>
      <c r="V1116" s="241"/>
      <c r="W1116" s="241"/>
      <c r="X1116" s="241"/>
      <c r="Y1116" s="241"/>
      <c r="Z1116" s="241"/>
    </row>
    <row r="1117" spans="3:26" ht="16.5">
      <c r="C1117" s="101"/>
      <c r="D1117" s="101"/>
      <c r="E1117" s="101"/>
      <c r="F1117" s="101"/>
      <c r="G1117" s="101"/>
      <c r="H1117" s="101"/>
      <c r="I1117" s="101"/>
      <c r="J1117" s="101"/>
      <c r="S1117" s="101"/>
      <c r="T1117" s="241"/>
      <c r="U1117" s="241"/>
      <c r="V1117" s="241"/>
      <c r="W1117" s="241"/>
      <c r="X1117" s="241"/>
      <c r="Y1117" s="241"/>
      <c r="Z1117" s="241"/>
    </row>
    <row r="1118" spans="3:26" ht="16.5">
      <c r="C1118" s="101"/>
      <c r="D1118" s="101"/>
      <c r="E1118" s="101"/>
      <c r="F1118" s="101"/>
      <c r="G1118" s="101"/>
      <c r="H1118" s="101"/>
      <c r="I1118" s="101"/>
      <c r="J1118" s="101"/>
      <c r="S1118" s="101"/>
      <c r="T1118" s="241"/>
      <c r="U1118" s="241"/>
      <c r="V1118" s="241"/>
      <c r="W1118" s="241"/>
      <c r="X1118" s="241"/>
      <c r="Y1118" s="241"/>
      <c r="Z1118" s="241"/>
    </row>
    <row r="1119" spans="3:26" ht="16.5">
      <c r="C1119" s="101"/>
      <c r="D1119" s="101"/>
      <c r="E1119" s="101"/>
      <c r="F1119" s="101"/>
      <c r="G1119" s="101"/>
      <c r="H1119" s="101"/>
      <c r="I1119" s="101"/>
      <c r="J1119" s="101"/>
      <c r="S1119" s="101"/>
      <c r="T1119" s="241"/>
      <c r="U1119" s="241"/>
      <c r="V1119" s="241"/>
      <c r="W1119" s="241"/>
      <c r="X1119" s="241"/>
      <c r="Y1119" s="241"/>
      <c r="Z1119" s="241"/>
    </row>
    <row r="1120" spans="3:26" ht="16.5">
      <c r="C1120" s="101"/>
      <c r="D1120" s="101"/>
      <c r="E1120" s="101"/>
      <c r="F1120" s="101"/>
      <c r="G1120" s="101"/>
      <c r="H1120" s="101"/>
      <c r="I1120" s="101"/>
      <c r="J1120" s="101"/>
      <c r="S1120" s="101"/>
      <c r="T1120" s="241"/>
      <c r="U1120" s="241"/>
      <c r="V1120" s="241"/>
      <c r="W1120" s="241"/>
      <c r="X1120" s="241"/>
      <c r="Y1120" s="241"/>
      <c r="Z1120" s="241"/>
    </row>
    <row r="1121" spans="3:26" ht="16.5">
      <c r="C1121" s="101"/>
      <c r="D1121" s="101"/>
      <c r="E1121" s="101"/>
      <c r="F1121" s="101"/>
      <c r="G1121" s="101"/>
      <c r="H1121" s="101"/>
      <c r="I1121" s="101"/>
      <c r="J1121" s="101"/>
      <c r="S1121" s="101"/>
      <c r="T1121" s="241"/>
      <c r="U1121" s="241"/>
      <c r="V1121" s="241"/>
      <c r="W1121" s="241"/>
      <c r="X1121" s="241"/>
      <c r="Y1121" s="241"/>
      <c r="Z1121" s="241"/>
    </row>
    <row r="1122" spans="3:26" ht="16.5">
      <c r="C1122" s="101"/>
      <c r="D1122" s="101"/>
      <c r="E1122" s="101"/>
      <c r="F1122" s="101"/>
      <c r="G1122" s="101"/>
      <c r="H1122" s="101"/>
      <c r="I1122" s="101"/>
      <c r="J1122" s="101"/>
      <c r="S1122" s="101"/>
      <c r="T1122" s="241"/>
      <c r="U1122" s="241"/>
      <c r="V1122" s="241"/>
      <c r="W1122" s="241"/>
      <c r="X1122" s="241"/>
      <c r="Y1122" s="241"/>
      <c r="Z1122" s="241"/>
    </row>
    <row r="1123" spans="3:26" ht="16.5">
      <c r="C1123" s="101"/>
      <c r="D1123" s="101"/>
      <c r="E1123" s="101"/>
      <c r="F1123" s="101"/>
      <c r="G1123" s="101"/>
      <c r="H1123" s="101"/>
      <c r="I1123" s="101"/>
      <c r="J1123" s="101"/>
      <c r="S1123" s="101"/>
      <c r="T1123" s="241"/>
      <c r="U1123" s="241"/>
      <c r="V1123" s="241"/>
      <c r="W1123" s="241"/>
      <c r="X1123" s="241"/>
      <c r="Y1123" s="241"/>
      <c r="Z1123" s="241"/>
    </row>
    <row r="1124" spans="3:26" ht="16.5">
      <c r="C1124" s="101"/>
      <c r="D1124" s="101"/>
      <c r="E1124" s="101"/>
      <c r="F1124" s="101"/>
      <c r="G1124" s="101"/>
      <c r="H1124" s="101"/>
      <c r="I1124" s="101"/>
      <c r="J1124" s="101"/>
      <c r="S1124" s="101"/>
      <c r="T1124" s="241"/>
      <c r="U1124" s="241"/>
      <c r="V1124" s="241"/>
      <c r="W1124" s="241"/>
      <c r="X1124" s="241"/>
      <c r="Y1124" s="241"/>
      <c r="Z1124" s="241"/>
    </row>
    <row r="1125" spans="3:26" ht="16.5">
      <c r="C1125" s="101"/>
      <c r="D1125" s="101"/>
      <c r="E1125" s="101"/>
      <c r="F1125" s="101"/>
      <c r="G1125" s="101"/>
      <c r="H1125" s="101"/>
      <c r="I1125" s="101"/>
      <c r="J1125" s="101"/>
      <c r="S1125" s="101"/>
      <c r="T1125" s="241"/>
      <c r="U1125" s="241"/>
      <c r="V1125" s="241"/>
      <c r="W1125" s="241"/>
      <c r="X1125" s="241"/>
      <c r="Y1125" s="241"/>
      <c r="Z1125" s="241"/>
    </row>
    <row r="1126" spans="3:26" ht="16.5">
      <c r="C1126" s="101"/>
      <c r="D1126" s="101"/>
      <c r="E1126" s="101"/>
      <c r="F1126" s="101"/>
      <c r="G1126" s="101"/>
      <c r="H1126" s="101"/>
      <c r="I1126" s="101"/>
      <c r="J1126" s="101"/>
      <c r="S1126" s="101"/>
      <c r="T1126" s="241"/>
      <c r="U1126" s="241"/>
      <c r="V1126" s="241"/>
      <c r="W1126" s="241"/>
      <c r="X1126" s="241"/>
      <c r="Y1126" s="241"/>
      <c r="Z1126" s="241"/>
    </row>
    <row r="1127" spans="3:26" ht="16.5">
      <c r="C1127" s="101"/>
      <c r="D1127" s="101"/>
      <c r="E1127" s="101"/>
      <c r="F1127" s="101"/>
      <c r="G1127" s="101"/>
      <c r="H1127" s="101"/>
      <c r="I1127" s="101"/>
      <c r="J1127" s="101"/>
      <c r="S1127" s="101"/>
      <c r="T1127" s="241"/>
      <c r="U1127" s="241"/>
      <c r="V1127" s="241"/>
      <c r="W1127" s="241"/>
      <c r="X1127" s="241"/>
      <c r="Y1127" s="241"/>
      <c r="Z1127" s="241"/>
    </row>
    <row r="1128" spans="3:26" ht="16.5">
      <c r="C1128" s="101"/>
      <c r="D1128" s="101"/>
      <c r="E1128" s="101"/>
      <c r="F1128" s="101"/>
      <c r="G1128" s="101"/>
      <c r="H1128" s="101"/>
      <c r="I1128" s="101"/>
      <c r="J1128" s="101"/>
      <c r="S1128" s="101"/>
      <c r="T1128" s="241"/>
      <c r="U1128" s="241"/>
      <c r="V1128" s="241"/>
      <c r="W1128" s="241"/>
      <c r="X1128" s="241"/>
      <c r="Y1128" s="241"/>
      <c r="Z1128" s="241"/>
    </row>
    <row r="1129" spans="3:26" ht="16.5">
      <c r="C1129" s="101"/>
      <c r="D1129" s="101"/>
      <c r="E1129" s="101"/>
      <c r="F1129" s="101"/>
      <c r="G1129" s="101"/>
      <c r="H1129" s="101"/>
      <c r="I1129" s="101"/>
      <c r="J1129" s="101"/>
      <c r="S1129" s="101"/>
      <c r="T1129" s="241"/>
      <c r="U1129" s="241"/>
      <c r="V1129" s="241"/>
      <c r="W1129" s="241"/>
      <c r="X1129" s="241"/>
      <c r="Y1129" s="241"/>
      <c r="Z1129" s="241"/>
    </row>
    <row r="1130" spans="3:26" ht="16.5">
      <c r="C1130" s="101"/>
      <c r="D1130" s="101"/>
      <c r="E1130" s="101"/>
      <c r="F1130" s="101"/>
      <c r="G1130" s="101"/>
      <c r="H1130" s="101"/>
      <c r="I1130" s="101"/>
      <c r="J1130" s="101"/>
      <c r="S1130" s="101"/>
      <c r="T1130" s="241"/>
      <c r="U1130" s="241"/>
      <c r="V1130" s="241"/>
      <c r="W1130" s="241"/>
      <c r="X1130" s="241"/>
      <c r="Y1130" s="241"/>
      <c r="Z1130" s="241"/>
    </row>
    <row r="1131" spans="3:26" ht="16.5">
      <c r="C1131" s="101"/>
      <c r="D1131" s="101"/>
      <c r="E1131" s="101"/>
      <c r="F1131" s="101"/>
      <c r="G1131" s="101"/>
      <c r="H1131" s="101"/>
      <c r="I1131" s="101"/>
      <c r="J1131" s="101"/>
      <c r="S1131" s="101"/>
      <c r="T1131" s="241"/>
      <c r="U1131" s="241"/>
      <c r="V1131" s="241"/>
      <c r="W1131" s="241"/>
      <c r="X1131" s="241"/>
      <c r="Y1131" s="241"/>
      <c r="Z1131" s="241"/>
    </row>
    <row r="1132" spans="3:26" ht="16.5">
      <c r="C1132" s="101"/>
      <c r="D1132" s="101"/>
      <c r="E1132" s="101"/>
      <c r="F1132" s="101"/>
      <c r="G1132" s="101"/>
      <c r="H1132" s="101"/>
      <c r="I1132" s="101"/>
      <c r="J1132" s="101"/>
      <c r="S1132" s="101"/>
      <c r="T1132" s="241"/>
      <c r="U1132" s="241"/>
      <c r="V1132" s="241"/>
      <c r="W1132" s="241"/>
      <c r="X1132" s="241"/>
      <c r="Y1132" s="241"/>
      <c r="Z1132" s="241"/>
    </row>
    <row r="1133" spans="3:26" ht="16.5">
      <c r="C1133" s="101"/>
      <c r="D1133" s="101"/>
      <c r="E1133" s="101"/>
      <c r="F1133" s="101"/>
      <c r="G1133" s="101"/>
      <c r="H1133" s="101"/>
      <c r="I1133" s="101"/>
      <c r="J1133" s="101"/>
      <c r="S1133" s="101"/>
      <c r="T1133" s="241"/>
      <c r="U1133" s="241"/>
      <c r="V1133" s="241"/>
      <c r="W1133" s="241"/>
      <c r="X1133" s="241"/>
      <c r="Y1133" s="241"/>
      <c r="Z1133" s="241"/>
    </row>
    <row r="1134" spans="3:26" ht="16.5">
      <c r="C1134" s="101"/>
      <c r="D1134" s="101"/>
      <c r="E1134" s="101"/>
      <c r="F1134" s="101"/>
      <c r="G1134" s="101"/>
      <c r="H1134" s="101"/>
      <c r="I1134" s="101"/>
      <c r="J1134" s="101"/>
      <c r="S1134" s="101"/>
      <c r="T1134" s="241"/>
      <c r="U1134" s="241"/>
      <c r="V1134" s="241"/>
      <c r="W1134" s="241"/>
      <c r="X1134" s="241"/>
      <c r="Y1134" s="241"/>
      <c r="Z1134" s="241"/>
    </row>
    <row r="1135" spans="3:26" ht="16.5">
      <c r="C1135" s="101"/>
      <c r="D1135" s="101"/>
      <c r="E1135" s="101"/>
      <c r="F1135" s="101"/>
      <c r="G1135" s="101"/>
      <c r="H1135" s="101"/>
      <c r="I1135" s="101"/>
      <c r="J1135" s="101"/>
      <c r="S1135" s="101"/>
      <c r="T1135" s="241"/>
      <c r="U1135" s="241"/>
      <c r="V1135" s="241"/>
      <c r="W1135" s="241"/>
      <c r="X1135" s="241"/>
      <c r="Y1135" s="241"/>
      <c r="Z1135" s="241"/>
    </row>
    <row r="1136" spans="3:26" ht="16.5">
      <c r="C1136" s="101"/>
      <c r="D1136" s="101"/>
      <c r="E1136" s="101"/>
      <c r="F1136" s="101"/>
      <c r="G1136" s="101"/>
      <c r="H1136" s="101"/>
      <c r="I1136" s="101"/>
      <c r="J1136" s="101"/>
      <c r="S1136" s="101"/>
      <c r="T1136" s="241"/>
      <c r="U1136" s="241"/>
      <c r="V1136" s="241"/>
      <c r="W1136" s="241"/>
      <c r="X1136" s="241"/>
      <c r="Y1136" s="241"/>
      <c r="Z1136" s="241"/>
    </row>
    <row r="1137" spans="3:26" ht="16.5">
      <c r="C1137" s="101"/>
      <c r="D1137" s="101"/>
      <c r="E1137" s="101"/>
      <c r="F1137" s="101"/>
      <c r="G1137" s="101"/>
      <c r="H1137" s="101"/>
      <c r="I1137" s="101"/>
      <c r="J1137" s="101"/>
      <c r="S1137" s="101"/>
      <c r="T1137" s="241"/>
      <c r="U1137" s="241"/>
      <c r="V1137" s="241"/>
      <c r="W1137" s="241"/>
      <c r="X1137" s="241"/>
      <c r="Y1137" s="241"/>
      <c r="Z1137" s="241"/>
    </row>
    <row r="1138" spans="3:26" ht="16.5">
      <c r="C1138" s="101"/>
      <c r="D1138" s="101"/>
      <c r="E1138" s="101"/>
      <c r="F1138" s="101"/>
      <c r="G1138" s="101"/>
      <c r="H1138" s="101"/>
      <c r="I1138" s="101"/>
      <c r="J1138" s="101"/>
      <c r="S1138" s="101"/>
      <c r="T1138" s="241"/>
      <c r="U1138" s="241"/>
      <c r="V1138" s="241"/>
      <c r="W1138" s="241"/>
      <c r="X1138" s="241"/>
      <c r="Y1138" s="241"/>
      <c r="Z1138" s="241"/>
    </row>
    <row r="1139" spans="3:26" ht="16.5">
      <c r="C1139" s="101"/>
      <c r="D1139" s="101"/>
      <c r="E1139" s="101"/>
      <c r="F1139" s="101"/>
      <c r="G1139" s="101"/>
      <c r="H1139" s="101"/>
      <c r="I1139" s="101"/>
      <c r="J1139" s="101"/>
      <c r="S1139" s="101"/>
      <c r="T1139" s="241"/>
      <c r="U1139" s="241"/>
      <c r="V1139" s="241"/>
      <c r="W1139" s="241"/>
      <c r="X1139" s="241"/>
      <c r="Y1139" s="241"/>
      <c r="Z1139" s="241"/>
    </row>
    <row r="1140" spans="3:26" ht="16.5">
      <c r="C1140" s="101"/>
      <c r="D1140" s="101"/>
      <c r="E1140" s="101"/>
      <c r="F1140" s="101"/>
      <c r="G1140" s="101"/>
      <c r="H1140" s="101"/>
      <c r="I1140" s="101"/>
      <c r="J1140" s="101"/>
      <c r="S1140" s="101"/>
      <c r="T1140" s="241"/>
      <c r="U1140" s="241"/>
      <c r="V1140" s="241"/>
      <c r="W1140" s="241"/>
      <c r="X1140" s="241"/>
      <c r="Y1140" s="241"/>
      <c r="Z1140" s="241"/>
    </row>
    <row r="1141" spans="3:26" ht="16.5">
      <c r="C1141" s="101"/>
      <c r="D1141" s="101"/>
      <c r="E1141" s="101"/>
      <c r="F1141" s="101"/>
      <c r="G1141" s="101"/>
      <c r="H1141" s="101"/>
      <c r="I1141" s="101"/>
      <c r="J1141" s="101"/>
      <c r="S1141" s="101"/>
      <c r="T1141" s="241"/>
      <c r="U1141" s="241"/>
      <c r="V1141" s="241"/>
      <c r="W1141" s="241"/>
      <c r="X1141" s="241"/>
      <c r="Y1141" s="241"/>
      <c r="Z1141" s="241"/>
    </row>
    <row r="1142" spans="3:26" ht="16.5">
      <c r="C1142" s="101"/>
      <c r="D1142" s="101"/>
      <c r="E1142" s="101"/>
      <c r="F1142" s="101"/>
      <c r="G1142" s="101"/>
      <c r="H1142" s="101"/>
      <c r="I1142" s="101"/>
      <c r="J1142" s="101"/>
      <c r="S1142" s="101"/>
      <c r="T1142" s="241"/>
      <c r="U1142" s="241"/>
      <c r="V1142" s="241"/>
      <c r="W1142" s="241"/>
      <c r="X1142" s="241"/>
      <c r="Y1142" s="241"/>
      <c r="Z1142" s="241"/>
    </row>
    <row r="1143" spans="3:26" ht="16.5">
      <c r="C1143" s="101"/>
      <c r="D1143" s="101"/>
      <c r="E1143" s="101"/>
      <c r="F1143" s="101"/>
      <c r="G1143" s="101"/>
      <c r="H1143" s="101"/>
      <c r="I1143" s="101"/>
      <c r="J1143" s="101"/>
      <c r="S1143" s="101"/>
      <c r="T1143" s="241"/>
      <c r="U1143" s="241"/>
      <c r="V1143" s="241"/>
      <c r="W1143" s="241"/>
      <c r="X1143" s="241"/>
      <c r="Y1143" s="241"/>
      <c r="Z1143" s="241"/>
    </row>
    <row r="1144" spans="3:26" ht="16.5">
      <c r="C1144" s="101"/>
      <c r="D1144" s="101"/>
      <c r="E1144" s="101"/>
      <c r="F1144" s="101"/>
      <c r="G1144" s="101"/>
      <c r="H1144" s="101"/>
      <c r="I1144" s="101"/>
      <c r="J1144" s="101"/>
      <c r="S1144" s="101"/>
      <c r="T1144" s="241"/>
      <c r="U1144" s="241"/>
      <c r="V1144" s="241"/>
      <c r="W1144" s="241"/>
      <c r="X1144" s="241"/>
      <c r="Y1144" s="241"/>
      <c r="Z1144" s="241"/>
    </row>
    <row r="1145" spans="3:26" ht="16.5">
      <c r="C1145" s="101"/>
      <c r="D1145" s="101"/>
      <c r="E1145" s="101"/>
      <c r="F1145" s="101"/>
      <c r="G1145" s="101"/>
      <c r="H1145" s="101"/>
      <c r="I1145" s="101"/>
      <c r="J1145" s="101"/>
      <c r="S1145" s="101"/>
      <c r="T1145" s="241"/>
      <c r="U1145" s="241"/>
      <c r="V1145" s="241"/>
      <c r="W1145" s="241"/>
      <c r="X1145" s="241"/>
      <c r="Y1145" s="241"/>
      <c r="Z1145" s="241"/>
    </row>
    <row r="1146" spans="3:26" ht="16.5">
      <c r="C1146" s="101"/>
      <c r="D1146" s="101"/>
      <c r="E1146" s="101"/>
      <c r="F1146" s="101"/>
      <c r="G1146" s="101"/>
      <c r="H1146" s="101"/>
      <c r="I1146" s="101"/>
      <c r="J1146" s="101"/>
      <c r="S1146" s="101"/>
      <c r="T1146" s="241"/>
      <c r="U1146" s="241"/>
      <c r="V1146" s="241"/>
      <c r="W1146" s="241"/>
      <c r="X1146" s="241"/>
      <c r="Y1146" s="241"/>
      <c r="Z1146" s="241"/>
    </row>
    <row r="1147" spans="3:26" ht="16.5">
      <c r="C1147" s="101"/>
      <c r="D1147" s="101"/>
      <c r="E1147" s="101"/>
      <c r="F1147" s="101"/>
      <c r="G1147" s="101"/>
      <c r="H1147" s="101"/>
      <c r="I1147" s="101"/>
      <c r="J1147" s="101"/>
      <c r="S1147" s="101"/>
      <c r="T1147" s="241"/>
      <c r="U1147" s="241"/>
      <c r="V1147" s="241"/>
      <c r="W1147" s="241"/>
      <c r="X1147" s="241"/>
      <c r="Y1147" s="241"/>
      <c r="Z1147" s="241"/>
    </row>
    <row r="1148" spans="3:26" ht="16.5">
      <c r="C1148" s="101"/>
      <c r="D1148" s="101"/>
      <c r="E1148" s="101"/>
      <c r="F1148" s="101"/>
      <c r="G1148" s="101"/>
      <c r="H1148" s="101"/>
      <c r="I1148" s="101"/>
      <c r="J1148" s="101"/>
      <c r="S1148" s="101"/>
      <c r="T1148" s="241"/>
      <c r="U1148" s="241"/>
      <c r="V1148" s="241"/>
      <c r="W1148" s="241"/>
      <c r="X1148" s="241"/>
      <c r="Y1148" s="241"/>
      <c r="Z1148" s="241"/>
    </row>
    <row r="1149" spans="3:26" ht="16.5">
      <c r="C1149" s="101"/>
      <c r="D1149" s="101"/>
      <c r="E1149" s="101"/>
      <c r="F1149" s="101"/>
      <c r="G1149" s="101"/>
      <c r="H1149" s="101"/>
      <c r="I1149" s="101"/>
      <c r="J1149" s="101"/>
      <c r="S1149" s="101"/>
      <c r="T1149" s="241"/>
      <c r="U1149" s="241"/>
      <c r="V1149" s="241"/>
      <c r="W1149" s="241"/>
      <c r="X1149" s="241"/>
      <c r="Y1149" s="241"/>
      <c r="Z1149" s="241"/>
    </row>
    <row r="1150" spans="3:26" ht="16.5">
      <c r="C1150" s="101"/>
      <c r="D1150" s="101"/>
      <c r="E1150" s="101"/>
      <c r="F1150" s="101"/>
      <c r="G1150" s="101"/>
      <c r="H1150" s="101"/>
      <c r="I1150" s="101"/>
      <c r="J1150" s="101"/>
      <c r="S1150" s="101"/>
      <c r="T1150" s="241"/>
      <c r="U1150" s="241"/>
      <c r="V1150" s="241"/>
      <c r="W1150" s="241"/>
      <c r="X1150" s="241"/>
      <c r="Y1150" s="241"/>
      <c r="Z1150" s="241"/>
    </row>
    <row r="1151" spans="3:26" ht="16.5">
      <c r="C1151" s="101"/>
      <c r="D1151" s="101"/>
      <c r="E1151" s="101"/>
      <c r="F1151" s="101"/>
      <c r="G1151" s="101"/>
      <c r="H1151" s="101"/>
      <c r="I1151" s="101"/>
      <c r="J1151" s="101"/>
      <c r="S1151" s="101"/>
      <c r="T1151" s="241"/>
      <c r="U1151" s="241"/>
      <c r="V1151" s="241"/>
      <c r="W1151" s="241"/>
      <c r="X1151" s="241"/>
      <c r="Y1151" s="241"/>
      <c r="Z1151" s="241"/>
    </row>
    <row r="1152" spans="3:26" ht="16.5">
      <c r="C1152" s="101"/>
      <c r="D1152" s="101"/>
      <c r="E1152" s="101"/>
      <c r="F1152" s="101"/>
      <c r="G1152" s="101"/>
      <c r="H1152" s="101"/>
      <c r="I1152" s="101"/>
      <c r="J1152" s="101"/>
      <c r="S1152" s="101"/>
      <c r="T1152" s="241"/>
      <c r="U1152" s="241"/>
      <c r="V1152" s="241"/>
      <c r="W1152" s="241"/>
      <c r="X1152" s="241"/>
      <c r="Y1152" s="241"/>
      <c r="Z1152" s="241"/>
    </row>
    <row r="1153" spans="3:26" ht="16.5">
      <c r="C1153" s="101"/>
      <c r="D1153" s="101"/>
      <c r="E1153" s="101"/>
      <c r="F1153" s="101"/>
      <c r="G1153" s="101"/>
      <c r="H1153" s="101"/>
      <c r="I1153" s="101"/>
      <c r="J1153" s="101"/>
      <c r="S1153" s="101"/>
      <c r="T1153" s="241"/>
      <c r="U1153" s="241"/>
      <c r="V1153" s="241"/>
      <c r="W1153" s="241"/>
      <c r="X1153" s="241"/>
      <c r="Y1153" s="241"/>
      <c r="Z1153" s="241"/>
    </row>
    <row r="1154" spans="3:26" ht="16.5">
      <c r="C1154" s="101"/>
      <c r="D1154" s="101"/>
      <c r="E1154" s="101"/>
      <c r="F1154" s="101"/>
      <c r="G1154" s="101"/>
      <c r="H1154" s="101"/>
      <c r="I1154" s="101"/>
      <c r="J1154" s="101"/>
      <c r="S1154" s="101"/>
      <c r="T1154" s="241"/>
      <c r="U1154" s="241"/>
      <c r="V1154" s="241"/>
      <c r="W1154" s="241"/>
      <c r="X1154" s="241"/>
      <c r="Y1154" s="241"/>
      <c r="Z1154" s="241"/>
    </row>
    <row r="1155" spans="3:26" ht="16.5">
      <c r="C1155" s="101"/>
      <c r="D1155" s="101"/>
      <c r="E1155" s="101"/>
      <c r="F1155" s="101"/>
      <c r="G1155" s="101"/>
      <c r="H1155" s="101"/>
      <c r="I1155" s="101"/>
      <c r="J1155" s="101"/>
      <c r="S1155" s="101"/>
      <c r="T1155" s="241"/>
      <c r="U1155" s="241"/>
      <c r="V1155" s="241"/>
      <c r="W1155" s="241"/>
      <c r="X1155" s="241"/>
      <c r="Y1155" s="241"/>
      <c r="Z1155" s="241"/>
    </row>
    <row r="1156" spans="3:26" ht="16.5">
      <c r="C1156" s="101"/>
      <c r="D1156" s="101"/>
      <c r="E1156" s="101"/>
      <c r="F1156" s="101"/>
      <c r="G1156" s="101"/>
      <c r="H1156" s="101"/>
      <c r="I1156" s="101"/>
      <c r="J1156" s="101"/>
      <c r="S1156" s="101"/>
      <c r="T1156" s="241"/>
      <c r="U1156" s="241"/>
      <c r="V1156" s="241"/>
      <c r="W1156" s="241"/>
      <c r="X1156" s="241"/>
      <c r="Y1156" s="241"/>
      <c r="Z1156" s="241"/>
    </row>
    <row r="1157" spans="3:26" ht="16.5">
      <c r="C1157" s="101"/>
      <c r="D1157" s="101"/>
      <c r="E1157" s="101"/>
      <c r="F1157" s="101"/>
      <c r="G1157" s="101"/>
      <c r="H1157" s="101"/>
      <c r="I1157" s="101"/>
      <c r="J1157" s="101"/>
      <c r="S1157" s="101"/>
      <c r="T1157" s="241"/>
      <c r="U1157" s="241"/>
      <c r="V1157" s="241"/>
      <c r="W1157" s="241"/>
      <c r="X1157" s="241"/>
      <c r="Y1157" s="241"/>
      <c r="Z1157" s="241"/>
    </row>
    <row r="1158" spans="3:26" ht="16.5">
      <c r="C1158" s="101"/>
      <c r="D1158" s="101"/>
      <c r="E1158" s="101"/>
      <c r="F1158" s="101"/>
      <c r="G1158" s="101"/>
      <c r="H1158" s="101"/>
      <c r="I1158" s="101"/>
      <c r="J1158" s="101"/>
      <c r="S1158" s="101"/>
      <c r="T1158" s="241"/>
      <c r="U1158" s="241"/>
      <c r="V1158" s="241"/>
      <c r="W1158" s="241"/>
      <c r="X1158" s="241"/>
      <c r="Y1158" s="241"/>
      <c r="Z1158" s="241"/>
    </row>
    <row r="1159" spans="3:26" ht="16.5">
      <c r="C1159" s="101"/>
      <c r="D1159" s="101"/>
      <c r="E1159" s="101"/>
      <c r="F1159" s="101"/>
      <c r="G1159" s="101"/>
      <c r="H1159" s="101"/>
      <c r="I1159" s="101"/>
      <c r="J1159" s="101"/>
      <c r="S1159" s="101"/>
      <c r="T1159" s="241"/>
      <c r="U1159" s="241"/>
      <c r="V1159" s="241"/>
      <c r="W1159" s="241"/>
      <c r="X1159" s="241"/>
      <c r="Y1159" s="241"/>
      <c r="Z1159" s="241"/>
    </row>
    <row r="1160" spans="3:26" ht="16.5">
      <c r="C1160" s="101"/>
      <c r="D1160" s="101"/>
      <c r="E1160" s="101"/>
      <c r="F1160" s="101"/>
      <c r="G1160" s="101"/>
      <c r="H1160" s="101"/>
      <c r="I1160" s="101"/>
      <c r="J1160" s="101"/>
      <c r="S1160" s="101"/>
      <c r="T1160" s="241"/>
      <c r="U1160" s="241"/>
      <c r="V1160" s="241"/>
      <c r="W1160" s="241"/>
      <c r="X1160" s="241"/>
      <c r="Y1160" s="241"/>
      <c r="Z1160" s="241"/>
    </row>
    <row r="1161" spans="3:26" ht="16.5">
      <c r="C1161" s="101"/>
      <c r="D1161" s="101"/>
      <c r="E1161" s="101"/>
      <c r="F1161" s="101"/>
      <c r="G1161" s="101"/>
      <c r="H1161" s="101"/>
      <c r="I1161" s="101"/>
      <c r="J1161" s="101"/>
      <c r="S1161" s="101"/>
      <c r="T1161" s="241"/>
      <c r="U1161" s="241"/>
      <c r="V1161" s="241"/>
      <c r="W1161" s="241"/>
      <c r="X1161" s="241"/>
      <c r="Y1161" s="241"/>
      <c r="Z1161" s="241"/>
    </row>
    <row r="1162" spans="3:26" ht="16.5">
      <c r="C1162" s="101"/>
      <c r="D1162" s="101"/>
      <c r="E1162" s="101"/>
      <c r="F1162" s="101"/>
      <c r="G1162" s="101"/>
      <c r="H1162" s="101"/>
      <c r="I1162" s="101"/>
      <c r="J1162" s="101"/>
      <c r="S1162" s="101"/>
      <c r="T1162" s="241"/>
      <c r="U1162" s="241"/>
      <c r="V1162" s="241"/>
      <c r="W1162" s="241"/>
      <c r="X1162" s="241"/>
      <c r="Y1162" s="241"/>
      <c r="Z1162" s="241"/>
    </row>
    <row r="1163" spans="3:26" ht="16.5">
      <c r="C1163" s="101"/>
      <c r="D1163" s="101"/>
      <c r="E1163" s="101"/>
      <c r="F1163" s="101"/>
      <c r="G1163" s="101"/>
      <c r="H1163" s="101"/>
      <c r="I1163" s="101"/>
      <c r="J1163" s="101"/>
      <c r="S1163" s="101"/>
      <c r="T1163" s="241"/>
      <c r="U1163" s="241"/>
      <c r="V1163" s="241"/>
      <c r="W1163" s="241"/>
      <c r="X1163" s="241"/>
      <c r="Y1163" s="241"/>
      <c r="Z1163" s="241"/>
    </row>
    <row r="1164" spans="3:26" ht="16.5">
      <c r="C1164" s="101"/>
      <c r="D1164" s="101"/>
      <c r="E1164" s="101"/>
      <c r="F1164" s="101"/>
      <c r="G1164" s="101"/>
      <c r="H1164" s="101"/>
      <c r="I1164" s="101"/>
      <c r="J1164" s="101"/>
      <c r="S1164" s="101"/>
      <c r="T1164" s="241"/>
      <c r="U1164" s="241"/>
      <c r="V1164" s="241"/>
      <c r="W1164" s="241"/>
      <c r="X1164" s="241"/>
      <c r="Y1164" s="241"/>
      <c r="Z1164" s="241"/>
    </row>
    <row r="1165" spans="3:26" ht="16.5">
      <c r="C1165" s="101"/>
      <c r="D1165" s="101"/>
      <c r="E1165" s="101"/>
      <c r="F1165" s="101"/>
      <c r="G1165" s="101"/>
      <c r="H1165" s="101"/>
      <c r="I1165" s="101"/>
      <c r="J1165" s="101"/>
      <c r="S1165" s="101"/>
      <c r="T1165" s="241"/>
      <c r="U1165" s="241"/>
      <c r="V1165" s="241"/>
      <c r="W1165" s="241"/>
      <c r="X1165" s="241"/>
      <c r="Y1165" s="241"/>
      <c r="Z1165" s="241"/>
    </row>
    <row r="1166" spans="3:26" ht="16.5">
      <c r="C1166" s="101"/>
      <c r="D1166" s="101"/>
      <c r="E1166" s="101"/>
      <c r="F1166" s="101"/>
      <c r="G1166" s="101"/>
      <c r="H1166" s="101"/>
      <c r="I1166" s="101"/>
      <c r="J1166" s="101"/>
      <c r="S1166" s="101"/>
      <c r="T1166" s="241"/>
      <c r="U1166" s="241"/>
      <c r="V1166" s="241"/>
      <c r="W1166" s="241"/>
      <c r="X1166" s="241"/>
      <c r="Y1166" s="241"/>
      <c r="Z1166" s="241"/>
    </row>
    <row r="1167" spans="3:26" ht="16.5">
      <c r="C1167" s="101"/>
      <c r="D1167" s="101"/>
      <c r="E1167" s="101"/>
      <c r="F1167" s="101"/>
      <c r="G1167" s="101"/>
      <c r="H1167" s="101"/>
      <c r="I1167" s="101"/>
      <c r="J1167" s="101"/>
      <c r="S1167" s="101"/>
      <c r="T1167" s="241"/>
      <c r="U1167" s="241"/>
      <c r="V1167" s="241"/>
      <c r="W1167" s="241"/>
      <c r="X1167" s="241"/>
      <c r="Y1167" s="241"/>
      <c r="Z1167" s="241"/>
    </row>
    <row r="1168" spans="3:26" ht="16.5">
      <c r="C1168" s="101"/>
      <c r="D1168" s="101"/>
      <c r="E1168" s="101"/>
      <c r="F1168" s="101"/>
      <c r="G1168" s="101"/>
      <c r="H1168" s="101"/>
      <c r="I1168" s="101"/>
      <c r="J1168" s="101"/>
      <c r="S1168" s="101"/>
      <c r="T1168" s="241"/>
      <c r="U1168" s="241"/>
      <c r="V1168" s="241"/>
      <c r="W1168" s="241"/>
      <c r="X1168" s="241"/>
      <c r="Y1168" s="241"/>
      <c r="Z1168" s="241"/>
    </row>
    <row r="1169" spans="3:26" ht="16.5">
      <c r="C1169" s="101"/>
      <c r="D1169" s="101"/>
      <c r="E1169" s="101"/>
      <c r="F1169" s="101"/>
      <c r="G1169" s="101"/>
      <c r="H1169" s="101"/>
      <c r="I1169" s="101"/>
      <c r="J1169" s="101"/>
      <c r="S1169" s="101"/>
      <c r="T1169" s="241"/>
      <c r="U1169" s="241"/>
      <c r="V1169" s="241"/>
      <c r="W1169" s="241"/>
      <c r="X1169" s="241"/>
      <c r="Y1169" s="241"/>
      <c r="Z1169" s="241"/>
    </row>
    <row r="1170" spans="3:26" ht="16.5">
      <c r="C1170" s="101"/>
      <c r="D1170" s="101"/>
      <c r="E1170" s="101"/>
      <c r="F1170" s="101"/>
      <c r="G1170" s="101"/>
      <c r="H1170" s="101"/>
      <c r="I1170" s="101"/>
      <c r="J1170" s="101"/>
      <c r="S1170" s="101"/>
      <c r="T1170" s="241"/>
      <c r="U1170" s="241"/>
      <c r="V1170" s="241"/>
      <c r="W1170" s="241"/>
      <c r="X1170" s="241"/>
      <c r="Y1170" s="241"/>
      <c r="Z1170" s="241"/>
    </row>
    <row r="1171" spans="3:26" ht="16.5">
      <c r="C1171" s="101"/>
      <c r="D1171" s="101"/>
      <c r="E1171" s="101"/>
      <c r="F1171" s="101"/>
      <c r="G1171" s="101"/>
      <c r="H1171" s="101"/>
      <c r="I1171" s="101"/>
      <c r="J1171" s="101"/>
      <c r="S1171" s="101"/>
      <c r="T1171" s="241"/>
      <c r="U1171" s="241"/>
      <c r="V1171" s="241"/>
      <c r="W1171" s="241"/>
      <c r="X1171" s="241"/>
      <c r="Y1171" s="241"/>
      <c r="Z1171" s="241"/>
    </row>
    <row r="1172" spans="3:26" ht="16.5">
      <c r="C1172" s="101"/>
      <c r="D1172" s="101"/>
      <c r="E1172" s="101"/>
      <c r="F1172" s="101"/>
      <c r="G1172" s="101"/>
      <c r="H1172" s="101"/>
      <c r="I1172" s="101"/>
      <c r="J1172" s="101"/>
      <c r="S1172" s="101"/>
      <c r="T1172" s="241"/>
      <c r="U1172" s="241"/>
      <c r="V1172" s="241"/>
      <c r="W1172" s="241"/>
      <c r="X1172" s="241"/>
      <c r="Y1172" s="241"/>
      <c r="Z1172" s="241"/>
    </row>
    <row r="1173" spans="3:26" ht="16.5">
      <c r="C1173" s="101"/>
      <c r="D1173" s="101"/>
      <c r="E1173" s="101"/>
      <c r="F1173" s="101"/>
      <c r="G1173" s="101"/>
      <c r="H1173" s="101"/>
      <c r="I1173" s="101"/>
      <c r="J1173" s="101"/>
      <c r="S1173" s="101"/>
      <c r="T1173" s="241"/>
      <c r="U1173" s="241"/>
      <c r="V1173" s="241"/>
      <c r="W1173" s="241"/>
      <c r="X1173" s="241"/>
      <c r="Y1173" s="241"/>
      <c r="Z1173" s="241"/>
    </row>
    <row r="1174" spans="3:26" ht="16.5">
      <c r="C1174" s="101"/>
      <c r="D1174" s="101"/>
      <c r="E1174" s="101"/>
      <c r="F1174" s="101"/>
      <c r="G1174" s="101"/>
      <c r="H1174" s="101"/>
      <c r="I1174" s="101"/>
      <c r="J1174" s="101"/>
      <c r="S1174" s="101"/>
      <c r="T1174" s="241"/>
      <c r="U1174" s="241"/>
      <c r="V1174" s="241"/>
      <c r="W1174" s="241"/>
      <c r="X1174" s="241"/>
      <c r="Y1174" s="241"/>
      <c r="Z1174" s="241"/>
    </row>
    <row r="1175" spans="3:26" ht="16.5">
      <c r="C1175" s="101"/>
      <c r="D1175" s="101"/>
      <c r="E1175" s="101"/>
      <c r="F1175" s="101"/>
      <c r="G1175" s="101"/>
      <c r="H1175" s="101"/>
      <c r="I1175" s="101"/>
      <c r="J1175" s="101"/>
      <c r="S1175" s="101"/>
      <c r="T1175" s="241"/>
      <c r="U1175" s="241"/>
      <c r="V1175" s="241"/>
      <c r="W1175" s="241"/>
      <c r="X1175" s="241"/>
      <c r="Y1175" s="241"/>
      <c r="Z1175" s="241"/>
    </row>
    <row r="1176" spans="3:26" ht="16.5">
      <c r="C1176" s="101"/>
      <c r="D1176" s="101"/>
      <c r="E1176" s="101"/>
      <c r="F1176" s="101"/>
      <c r="G1176" s="101"/>
      <c r="H1176" s="101"/>
      <c r="I1176" s="101"/>
      <c r="J1176" s="101"/>
      <c r="S1176" s="101"/>
      <c r="T1176" s="241"/>
      <c r="U1176" s="241"/>
      <c r="V1176" s="241"/>
      <c r="W1176" s="241"/>
      <c r="X1176" s="241"/>
      <c r="Y1176" s="241"/>
      <c r="Z1176" s="241"/>
    </row>
    <row r="1177" spans="3:26" ht="16.5">
      <c r="C1177" s="101"/>
      <c r="D1177" s="101"/>
      <c r="E1177" s="101"/>
      <c r="F1177" s="101"/>
      <c r="G1177" s="101"/>
      <c r="H1177" s="101"/>
      <c r="I1177" s="101"/>
      <c r="J1177" s="101"/>
      <c r="S1177" s="101"/>
      <c r="T1177" s="241"/>
      <c r="U1177" s="241"/>
      <c r="V1177" s="241"/>
      <c r="W1177" s="241"/>
      <c r="X1177" s="241"/>
      <c r="Y1177" s="241"/>
      <c r="Z1177" s="241"/>
    </row>
    <row r="1178" spans="3:26" ht="16.5">
      <c r="C1178" s="101"/>
      <c r="D1178" s="101"/>
      <c r="E1178" s="101"/>
      <c r="F1178" s="101"/>
      <c r="G1178" s="101"/>
      <c r="H1178" s="101"/>
      <c r="I1178" s="101"/>
      <c r="J1178" s="101"/>
      <c r="S1178" s="101"/>
      <c r="T1178" s="241"/>
      <c r="U1178" s="241"/>
      <c r="V1178" s="241"/>
      <c r="W1178" s="241"/>
      <c r="X1178" s="241"/>
      <c r="Y1178" s="241"/>
      <c r="Z1178" s="241"/>
    </row>
    <row r="1179" spans="3:26" ht="16.5">
      <c r="C1179" s="101"/>
      <c r="D1179" s="101"/>
      <c r="E1179" s="101"/>
      <c r="F1179" s="101"/>
      <c r="G1179" s="101"/>
      <c r="H1179" s="101"/>
      <c r="I1179" s="101"/>
      <c r="J1179" s="101"/>
      <c r="S1179" s="101"/>
      <c r="T1179" s="241"/>
      <c r="U1179" s="241"/>
      <c r="V1179" s="241"/>
      <c r="W1179" s="241"/>
      <c r="X1179" s="241"/>
      <c r="Y1179" s="241"/>
      <c r="Z1179" s="241"/>
    </row>
    <row r="1180" spans="3:26" ht="16.5">
      <c r="C1180" s="101"/>
      <c r="D1180" s="101"/>
      <c r="E1180" s="101"/>
      <c r="F1180" s="101"/>
      <c r="G1180" s="101"/>
      <c r="H1180" s="101"/>
      <c r="I1180" s="101"/>
      <c r="J1180" s="101"/>
      <c r="S1180" s="101"/>
      <c r="T1180" s="241"/>
      <c r="U1180" s="241"/>
      <c r="V1180" s="241"/>
      <c r="W1180" s="241"/>
      <c r="X1180" s="241"/>
      <c r="Y1180" s="241"/>
      <c r="Z1180" s="241"/>
    </row>
    <row r="1181" spans="3:26" ht="16.5">
      <c r="C1181" s="101"/>
      <c r="D1181" s="101"/>
      <c r="E1181" s="101"/>
      <c r="F1181" s="101"/>
      <c r="G1181" s="101"/>
      <c r="H1181" s="101"/>
      <c r="I1181" s="101"/>
      <c r="J1181" s="101"/>
      <c r="S1181" s="101"/>
      <c r="T1181" s="241"/>
      <c r="U1181" s="241"/>
      <c r="V1181" s="241"/>
      <c r="W1181" s="241"/>
      <c r="X1181" s="241"/>
      <c r="Y1181" s="241"/>
      <c r="Z1181" s="241"/>
    </row>
    <row r="1182" spans="3:26" ht="16.5">
      <c r="C1182" s="101"/>
      <c r="D1182" s="101"/>
      <c r="E1182" s="101"/>
      <c r="F1182" s="101"/>
      <c r="G1182" s="101"/>
      <c r="H1182" s="101"/>
      <c r="I1182" s="101"/>
      <c r="J1182" s="101"/>
      <c r="S1182" s="101"/>
      <c r="T1182" s="241"/>
      <c r="U1182" s="241"/>
      <c r="V1182" s="241"/>
      <c r="W1182" s="241"/>
      <c r="X1182" s="241"/>
      <c r="Y1182" s="241"/>
      <c r="Z1182" s="241"/>
    </row>
    <row r="1183" spans="3:26" ht="16.5">
      <c r="C1183" s="101"/>
      <c r="D1183" s="101"/>
      <c r="E1183" s="101"/>
      <c r="F1183" s="101"/>
      <c r="G1183" s="101"/>
      <c r="H1183" s="101"/>
      <c r="I1183" s="101"/>
      <c r="J1183" s="101"/>
      <c r="S1183" s="101"/>
      <c r="T1183" s="241"/>
      <c r="U1183" s="241"/>
      <c r="V1183" s="241"/>
      <c r="W1183" s="241"/>
      <c r="X1183" s="241"/>
      <c r="Y1183" s="241"/>
      <c r="Z1183" s="241"/>
    </row>
    <row r="1184" spans="3:26" ht="16.5">
      <c r="C1184" s="101"/>
      <c r="D1184" s="101"/>
      <c r="E1184" s="101"/>
      <c r="F1184" s="101"/>
      <c r="G1184" s="101"/>
      <c r="H1184" s="101"/>
      <c r="I1184" s="101"/>
      <c r="J1184" s="101"/>
      <c r="S1184" s="101"/>
      <c r="T1184" s="241"/>
      <c r="U1184" s="241"/>
      <c r="V1184" s="241"/>
      <c r="W1184" s="241"/>
      <c r="X1184" s="241"/>
      <c r="Y1184" s="241"/>
      <c r="Z1184" s="241"/>
    </row>
    <row r="1185" spans="3:26" ht="16.5">
      <c r="C1185" s="101"/>
      <c r="D1185" s="101"/>
      <c r="E1185" s="101"/>
      <c r="F1185" s="101"/>
      <c r="G1185" s="101"/>
      <c r="H1185" s="101"/>
      <c r="I1185" s="101"/>
      <c r="J1185" s="101"/>
      <c r="S1185" s="101"/>
      <c r="T1185" s="241"/>
      <c r="U1185" s="241"/>
      <c r="V1185" s="241"/>
      <c r="W1185" s="241"/>
      <c r="X1185" s="241"/>
      <c r="Y1185" s="241"/>
      <c r="Z1185" s="241"/>
    </row>
    <row r="1186" spans="3:26" ht="16.5">
      <c r="C1186" s="101"/>
      <c r="D1186" s="101"/>
      <c r="E1186" s="101"/>
      <c r="F1186" s="101"/>
      <c r="G1186" s="101"/>
      <c r="H1186" s="101"/>
      <c r="I1186" s="101"/>
      <c r="J1186" s="101"/>
      <c r="S1186" s="101"/>
      <c r="T1186" s="241"/>
      <c r="U1186" s="241"/>
      <c r="V1186" s="241"/>
      <c r="W1186" s="241"/>
      <c r="X1186" s="241"/>
      <c r="Y1186" s="241"/>
      <c r="Z1186" s="241"/>
    </row>
    <row r="1187" spans="3:26" ht="16.5">
      <c r="C1187" s="101"/>
      <c r="D1187" s="101"/>
      <c r="E1187" s="101"/>
      <c r="F1187" s="101"/>
      <c r="G1187" s="101"/>
      <c r="H1187" s="101"/>
      <c r="I1187" s="101"/>
      <c r="J1187" s="101"/>
      <c r="S1187" s="101"/>
      <c r="T1187" s="241"/>
      <c r="U1187" s="241"/>
      <c r="V1187" s="241"/>
      <c r="W1187" s="241"/>
      <c r="X1187" s="241"/>
      <c r="Y1187" s="241"/>
      <c r="Z1187" s="241"/>
    </row>
    <row r="1188" spans="3:26" ht="16.5">
      <c r="C1188" s="101"/>
      <c r="D1188" s="101"/>
      <c r="E1188" s="101"/>
      <c r="F1188" s="101"/>
      <c r="G1188" s="101"/>
      <c r="H1188" s="101"/>
      <c r="I1188" s="101"/>
      <c r="J1188" s="101"/>
      <c r="S1188" s="101"/>
      <c r="T1188" s="241"/>
      <c r="U1188" s="241"/>
      <c r="V1188" s="241"/>
      <c r="W1188" s="241"/>
      <c r="X1188" s="241"/>
      <c r="Y1188" s="241"/>
      <c r="Z1188" s="241"/>
    </row>
    <row r="1189" spans="3:26" ht="16.5">
      <c r="C1189" s="101"/>
      <c r="D1189" s="101"/>
      <c r="E1189" s="101"/>
      <c r="F1189" s="101"/>
      <c r="G1189" s="101"/>
      <c r="H1189" s="101"/>
      <c r="I1189" s="101"/>
      <c r="J1189" s="101"/>
      <c r="S1189" s="101"/>
      <c r="T1189" s="241"/>
      <c r="U1189" s="241"/>
      <c r="V1189" s="241"/>
      <c r="W1189" s="241"/>
      <c r="X1189" s="241"/>
      <c r="Y1189" s="241"/>
      <c r="Z1189" s="241"/>
    </row>
    <row r="1190" spans="3:26" ht="16.5">
      <c r="C1190" s="101"/>
      <c r="D1190" s="101"/>
      <c r="E1190" s="101"/>
      <c r="F1190" s="101"/>
      <c r="G1190" s="101"/>
      <c r="H1190" s="101"/>
      <c r="I1190" s="101"/>
      <c r="J1190" s="101"/>
      <c r="S1190" s="101"/>
      <c r="T1190" s="241"/>
      <c r="U1190" s="241"/>
      <c r="V1190" s="241"/>
      <c r="W1190" s="241"/>
      <c r="X1190" s="241"/>
      <c r="Y1190" s="241"/>
      <c r="Z1190" s="241"/>
    </row>
    <row r="1191" spans="3:26" ht="16.5">
      <c r="C1191" s="101"/>
      <c r="D1191" s="101"/>
      <c r="E1191" s="101"/>
      <c r="F1191" s="101"/>
      <c r="G1191" s="101"/>
      <c r="H1191" s="101"/>
      <c r="I1191" s="101"/>
      <c r="J1191" s="101"/>
      <c r="S1191" s="101"/>
      <c r="T1191" s="241"/>
      <c r="U1191" s="241"/>
      <c r="V1191" s="241"/>
      <c r="W1191" s="241"/>
      <c r="X1191" s="241"/>
      <c r="Y1191" s="241"/>
      <c r="Z1191" s="241"/>
    </row>
    <row r="1192" spans="3:26" ht="16.5">
      <c r="C1192" s="101"/>
      <c r="D1192" s="101"/>
      <c r="E1192" s="101"/>
      <c r="F1192" s="101"/>
      <c r="G1192" s="101"/>
      <c r="H1192" s="101"/>
      <c r="I1192" s="101"/>
      <c r="J1192" s="101"/>
      <c r="S1192" s="101"/>
      <c r="T1192" s="241"/>
      <c r="U1192" s="241"/>
      <c r="V1192" s="241"/>
      <c r="W1192" s="241"/>
      <c r="X1192" s="241"/>
      <c r="Y1192" s="241"/>
      <c r="Z1192" s="241"/>
    </row>
    <row r="1193" spans="3:26" ht="16.5">
      <c r="C1193" s="101"/>
      <c r="D1193" s="101"/>
      <c r="E1193" s="101"/>
      <c r="F1193" s="101"/>
      <c r="G1193" s="101"/>
      <c r="H1193" s="101"/>
      <c r="I1193" s="101"/>
      <c r="J1193" s="101"/>
      <c r="S1193" s="101"/>
      <c r="T1193" s="241"/>
      <c r="U1193" s="241"/>
      <c r="V1193" s="241"/>
      <c r="W1193" s="241"/>
      <c r="X1193" s="241"/>
      <c r="Y1193" s="241"/>
      <c r="Z1193" s="241"/>
    </row>
    <row r="1194" spans="3:26" ht="16.5">
      <c r="C1194" s="101"/>
      <c r="D1194" s="101"/>
      <c r="E1194" s="101"/>
      <c r="F1194" s="101"/>
      <c r="G1194" s="101"/>
      <c r="H1194" s="101"/>
      <c r="I1194" s="101"/>
      <c r="J1194" s="101"/>
      <c r="S1194" s="101"/>
      <c r="T1194" s="241"/>
      <c r="U1194" s="241"/>
      <c r="V1194" s="241"/>
      <c r="W1194" s="241"/>
      <c r="X1194" s="241"/>
      <c r="Y1194" s="241"/>
      <c r="Z1194" s="241"/>
    </row>
    <row r="1195" spans="3:26" ht="16.5">
      <c r="C1195" s="101"/>
      <c r="D1195" s="101"/>
      <c r="E1195" s="101"/>
      <c r="F1195" s="101"/>
      <c r="G1195" s="101"/>
      <c r="H1195" s="101"/>
      <c r="I1195" s="101"/>
      <c r="J1195" s="101"/>
      <c r="S1195" s="101"/>
      <c r="T1195" s="241"/>
      <c r="U1195" s="241"/>
      <c r="V1195" s="241"/>
      <c r="W1195" s="241"/>
      <c r="X1195" s="241"/>
      <c r="Y1195" s="241"/>
      <c r="Z1195" s="241"/>
    </row>
    <row r="1196" spans="3:26" ht="16.5">
      <c r="C1196" s="101"/>
      <c r="D1196" s="101"/>
      <c r="E1196" s="101"/>
      <c r="F1196" s="101"/>
      <c r="G1196" s="101"/>
      <c r="H1196" s="101"/>
      <c r="I1196" s="101"/>
      <c r="J1196" s="101"/>
      <c r="S1196" s="101"/>
      <c r="T1196" s="241"/>
      <c r="U1196" s="241"/>
      <c r="V1196" s="241"/>
      <c r="W1196" s="241"/>
      <c r="X1196" s="241"/>
      <c r="Y1196" s="241"/>
      <c r="Z1196" s="241"/>
    </row>
    <row r="1197" spans="3:26" ht="16.5">
      <c r="C1197" s="101"/>
      <c r="D1197" s="101"/>
      <c r="E1197" s="101"/>
      <c r="F1197" s="101"/>
      <c r="G1197" s="101"/>
      <c r="H1197" s="101"/>
      <c r="I1197" s="101"/>
      <c r="J1197" s="101"/>
      <c r="S1197" s="101"/>
      <c r="T1197" s="241"/>
      <c r="U1197" s="241"/>
      <c r="V1197" s="241"/>
      <c r="W1197" s="241"/>
      <c r="X1197" s="241"/>
      <c r="Y1197" s="241"/>
      <c r="Z1197" s="241"/>
    </row>
    <row r="1198" spans="3:26" ht="16.5">
      <c r="C1198" s="101"/>
      <c r="D1198" s="101"/>
      <c r="E1198" s="101"/>
      <c r="F1198" s="101"/>
      <c r="G1198" s="101"/>
      <c r="H1198" s="101"/>
      <c r="I1198" s="101"/>
      <c r="J1198" s="101"/>
      <c r="S1198" s="101"/>
      <c r="T1198" s="241"/>
      <c r="U1198" s="241"/>
      <c r="V1198" s="241"/>
      <c r="W1198" s="241"/>
      <c r="X1198" s="241"/>
      <c r="Y1198" s="241"/>
      <c r="Z1198" s="241"/>
    </row>
    <row r="1199" spans="3:26" ht="16.5">
      <c r="C1199" s="101"/>
      <c r="D1199" s="101"/>
      <c r="E1199" s="101"/>
      <c r="F1199" s="101"/>
      <c r="G1199" s="101"/>
      <c r="H1199" s="101"/>
      <c r="I1199" s="101"/>
      <c r="J1199" s="101"/>
      <c r="S1199" s="101"/>
      <c r="T1199" s="241"/>
      <c r="U1199" s="241"/>
      <c r="V1199" s="241"/>
      <c r="W1199" s="241"/>
      <c r="X1199" s="241"/>
      <c r="Y1199" s="241"/>
      <c r="Z1199" s="241"/>
    </row>
    <row r="1200" spans="3:26" ht="16.5">
      <c r="C1200" s="101"/>
      <c r="D1200" s="101"/>
      <c r="E1200" s="101"/>
      <c r="F1200" s="101"/>
      <c r="G1200" s="101"/>
      <c r="H1200" s="101"/>
      <c r="I1200" s="101"/>
      <c r="J1200" s="101"/>
      <c r="S1200" s="101"/>
      <c r="T1200" s="241"/>
      <c r="U1200" s="241"/>
      <c r="V1200" s="241"/>
      <c r="W1200" s="241"/>
      <c r="X1200" s="241"/>
      <c r="Y1200" s="241"/>
      <c r="Z1200" s="241"/>
    </row>
    <row r="1201" spans="3:26" ht="16.5">
      <c r="C1201" s="101"/>
      <c r="D1201" s="101"/>
      <c r="E1201" s="101"/>
      <c r="F1201" s="101"/>
      <c r="G1201" s="101"/>
      <c r="H1201" s="101"/>
      <c r="I1201" s="101"/>
      <c r="J1201" s="101"/>
      <c r="S1201" s="101"/>
      <c r="T1201" s="241"/>
      <c r="U1201" s="241"/>
      <c r="V1201" s="241"/>
      <c r="W1201" s="241"/>
      <c r="X1201" s="241"/>
      <c r="Y1201" s="241"/>
      <c r="Z1201" s="241"/>
    </row>
    <row r="1202" spans="3:26" ht="16.5">
      <c r="C1202" s="101"/>
      <c r="D1202" s="101"/>
      <c r="E1202" s="101"/>
      <c r="F1202" s="101"/>
      <c r="G1202" s="101"/>
      <c r="H1202" s="101"/>
      <c r="I1202" s="101"/>
      <c r="J1202" s="101"/>
      <c r="S1202" s="101"/>
      <c r="T1202" s="241"/>
      <c r="U1202" s="241"/>
      <c r="V1202" s="241"/>
      <c r="W1202" s="241"/>
      <c r="X1202" s="241"/>
      <c r="Y1202" s="241"/>
      <c r="Z1202" s="241"/>
    </row>
    <row r="1203" spans="3:26" ht="16.5">
      <c r="C1203" s="101"/>
      <c r="D1203" s="101"/>
      <c r="E1203" s="101"/>
      <c r="F1203" s="101"/>
      <c r="G1203" s="101"/>
      <c r="H1203" s="101"/>
      <c r="I1203" s="101"/>
      <c r="J1203" s="101"/>
      <c r="S1203" s="101"/>
      <c r="T1203" s="241"/>
      <c r="U1203" s="241"/>
      <c r="V1203" s="241"/>
      <c r="W1203" s="241"/>
      <c r="X1203" s="241"/>
      <c r="Y1203" s="241"/>
      <c r="Z1203" s="241"/>
    </row>
    <row r="1204" spans="3:26" ht="16.5">
      <c r="C1204" s="101"/>
      <c r="D1204" s="101"/>
      <c r="E1204" s="101"/>
      <c r="F1204" s="101"/>
      <c r="G1204" s="101"/>
      <c r="H1204" s="101"/>
      <c r="I1204" s="101"/>
      <c r="J1204" s="101"/>
      <c r="S1204" s="101"/>
      <c r="T1204" s="241"/>
      <c r="U1204" s="241"/>
      <c r="V1204" s="241"/>
      <c r="W1204" s="241"/>
      <c r="X1204" s="241"/>
      <c r="Y1204" s="241"/>
      <c r="Z1204" s="241"/>
    </row>
    <row r="1205" spans="3:26" ht="16.5">
      <c r="C1205" s="101"/>
      <c r="D1205" s="101"/>
      <c r="E1205" s="101"/>
      <c r="F1205" s="101"/>
      <c r="G1205" s="101"/>
      <c r="H1205" s="101"/>
      <c r="I1205" s="101"/>
      <c r="J1205" s="101"/>
      <c r="S1205" s="101"/>
      <c r="T1205" s="241"/>
      <c r="U1205" s="241"/>
      <c r="V1205" s="241"/>
      <c r="W1205" s="241"/>
      <c r="X1205" s="241"/>
      <c r="Y1205" s="241"/>
      <c r="Z1205" s="241"/>
    </row>
    <row r="1206" spans="3:26" ht="16.5">
      <c r="C1206" s="101"/>
      <c r="D1206" s="101"/>
      <c r="E1206" s="101"/>
      <c r="F1206" s="101"/>
      <c r="G1206" s="101"/>
      <c r="H1206" s="101"/>
      <c r="I1206" s="101"/>
      <c r="J1206" s="101"/>
      <c r="S1206" s="101"/>
      <c r="T1206" s="241"/>
      <c r="U1206" s="241"/>
      <c r="V1206" s="241"/>
      <c r="W1206" s="241"/>
      <c r="X1206" s="241"/>
      <c r="Y1206" s="241"/>
      <c r="Z1206" s="241"/>
    </row>
    <row r="1207" spans="3:26" ht="16.5">
      <c r="C1207" s="101"/>
      <c r="D1207" s="101"/>
      <c r="E1207" s="101"/>
      <c r="F1207" s="101"/>
      <c r="G1207" s="101"/>
      <c r="H1207" s="101"/>
      <c r="I1207" s="101"/>
      <c r="J1207" s="101"/>
      <c r="S1207" s="101"/>
      <c r="T1207" s="241"/>
      <c r="U1207" s="241"/>
      <c r="V1207" s="241"/>
      <c r="W1207" s="241"/>
      <c r="X1207" s="241"/>
      <c r="Y1207" s="241"/>
      <c r="Z1207" s="241"/>
    </row>
    <row r="1208" spans="3:26" ht="16.5">
      <c r="C1208" s="101"/>
      <c r="D1208" s="101"/>
      <c r="E1208" s="101"/>
      <c r="F1208" s="101"/>
      <c r="G1208" s="101"/>
      <c r="H1208" s="101"/>
      <c r="I1208" s="101"/>
      <c r="J1208" s="101"/>
      <c r="S1208" s="101"/>
      <c r="T1208" s="241"/>
      <c r="U1208" s="241"/>
      <c r="V1208" s="241"/>
      <c r="W1208" s="241"/>
      <c r="X1208" s="241"/>
      <c r="Y1208" s="241"/>
      <c r="Z1208" s="241"/>
    </row>
    <row r="1209" spans="3:26" ht="16.5">
      <c r="C1209" s="101"/>
      <c r="D1209" s="101"/>
      <c r="E1209" s="101"/>
      <c r="F1209" s="101"/>
      <c r="G1209" s="101"/>
      <c r="H1209" s="101"/>
      <c r="I1209" s="101"/>
      <c r="J1209" s="101"/>
      <c r="S1209" s="101"/>
      <c r="T1209" s="241"/>
      <c r="U1209" s="241"/>
      <c r="V1209" s="241"/>
      <c r="W1209" s="241"/>
      <c r="X1209" s="241"/>
      <c r="Y1209" s="241"/>
      <c r="Z1209" s="241"/>
    </row>
    <row r="1210" spans="3:26" ht="16.5">
      <c r="C1210" s="101"/>
      <c r="D1210" s="101"/>
      <c r="E1210" s="101"/>
      <c r="F1210" s="101"/>
      <c r="G1210" s="101"/>
      <c r="H1210" s="101"/>
      <c r="I1210" s="101"/>
      <c r="J1210" s="101"/>
      <c r="S1210" s="101"/>
      <c r="T1210" s="241"/>
      <c r="U1210" s="241"/>
      <c r="V1210" s="241"/>
      <c r="W1210" s="241"/>
      <c r="X1210" s="241"/>
      <c r="Y1210" s="241"/>
      <c r="Z1210" s="241"/>
    </row>
    <row r="1211" spans="3:26" ht="16.5">
      <c r="C1211" s="101"/>
      <c r="D1211" s="101"/>
      <c r="E1211" s="101"/>
      <c r="F1211" s="101"/>
      <c r="G1211" s="101"/>
      <c r="H1211" s="101"/>
      <c r="I1211" s="101"/>
      <c r="J1211" s="101"/>
      <c r="S1211" s="101"/>
      <c r="T1211" s="241"/>
      <c r="U1211" s="241"/>
      <c r="V1211" s="241"/>
      <c r="W1211" s="241"/>
      <c r="X1211" s="241"/>
      <c r="Y1211" s="241"/>
      <c r="Z1211" s="241"/>
    </row>
    <row r="1212" spans="3:26" ht="16.5">
      <c r="C1212" s="101"/>
      <c r="D1212" s="101"/>
      <c r="E1212" s="101"/>
      <c r="F1212" s="101"/>
      <c r="G1212" s="101"/>
      <c r="H1212" s="101"/>
      <c r="I1212" s="101"/>
      <c r="J1212" s="101"/>
      <c r="S1212" s="101"/>
      <c r="T1212" s="241"/>
      <c r="U1212" s="241"/>
      <c r="V1212" s="241"/>
      <c r="W1212" s="241"/>
      <c r="X1212" s="241"/>
      <c r="Y1212" s="241"/>
      <c r="Z1212" s="241"/>
    </row>
    <row r="1213" spans="3:26" ht="16.5">
      <c r="C1213" s="101"/>
      <c r="D1213" s="101"/>
      <c r="E1213" s="101"/>
      <c r="F1213" s="101"/>
      <c r="G1213" s="101"/>
      <c r="H1213" s="101"/>
      <c r="I1213" s="101"/>
      <c r="J1213" s="101"/>
      <c r="S1213" s="101"/>
      <c r="T1213" s="241"/>
      <c r="U1213" s="241"/>
      <c r="V1213" s="241"/>
      <c r="W1213" s="241"/>
      <c r="X1213" s="241"/>
      <c r="Y1213" s="241"/>
      <c r="Z1213" s="241"/>
    </row>
    <row r="1214" spans="3:26" ht="16.5">
      <c r="C1214" s="101"/>
      <c r="D1214" s="101"/>
      <c r="E1214" s="101"/>
      <c r="F1214" s="101"/>
      <c r="G1214" s="101"/>
      <c r="H1214" s="101"/>
      <c r="I1214" s="101"/>
      <c r="J1214" s="101"/>
      <c r="S1214" s="101"/>
      <c r="T1214" s="241"/>
      <c r="U1214" s="241"/>
      <c r="V1214" s="241"/>
      <c r="W1214" s="241"/>
      <c r="X1214" s="241"/>
      <c r="Y1214" s="241"/>
      <c r="Z1214" s="241"/>
    </row>
    <row r="1215" spans="3:26" ht="16.5">
      <c r="C1215" s="101"/>
      <c r="D1215" s="101"/>
      <c r="E1215" s="101"/>
      <c r="F1215" s="101"/>
      <c r="G1215" s="101"/>
      <c r="H1215" s="101"/>
      <c r="I1215" s="101"/>
      <c r="J1215" s="101"/>
      <c r="S1215" s="101"/>
      <c r="T1215" s="241"/>
      <c r="U1215" s="241"/>
      <c r="V1215" s="241"/>
      <c r="W1215" s="241"/>
      <c r="X1215" s="241"/>
      <c r="Y1215" s="241"/>
      <c r="Z1215" s="241"/>
    </row>
    <row r="1216" spans="3:26" ht="16.5">
      <c r="C1216" s="101"/>
      <c r="D1216" s="101"/>
      <c r="E1216" s="101"/>
      <c r="F1216" s="101"/>
      <c r="G1216" s="101"/>
      <c r="H1216" s="101"/>
      <c r="I1216" s="101"/>
      <c r="J1216" s="101"/>
      <c r="S1216" s="101"/>
      <c r="T1216" s="241"/>
      <c r="U1216" s="241"/>
      <c r="V1216" s="241"/>
      <c r="W1216" s="241"/>
      <c r="X1216" s="241"/>
      <c r="Y1216" s="241"/>
      <c r="Z1216" s="241"/>
    </row>
    <row r="1217" spans="3:26" ht="16.5">
      <c r="C1217" s="101"/>
      <c r="D1217" s="101"/>
      <c r="E1217" s="101"/>
      <c r="F1217" s="101"/>
      <c r="G1217" s="101"/>
      <c r="H1217" s="101"/>
      <c r="I1217" s="101"/>
      <c r="J1217" s="101"/>
      <c r="S1217" s="101"/>
      <c r="T1217" s="241"/>
      <c r="U1217" s="241"/>
      <c r="V1217" s="241"/>
      <c r="W1217" s="241"/>
      <c r="X1217" s="241"/>
      <c r="Y1217" s="241"/>
      <c r="Z1217" s="241"/>
    </row>
    <row r="1218" spans="3:26" ht="16.5">
      <c r="C1218" s="101"/>
      <c r="D1218" s="101"/>
      <c r="E1218" s="101"/>
      <c r="F1218" s="101"/>
      <c r="G1218" s="101"/>
      <c r="H1218" s="101"/>
      <c r="I1218" s="101"/>
      <c r="J1218" s="101"/>
      <c r="S1218" s="101"/>
      <c r="T1218" s="241"/>
      <c r="U1218" s="241"/>
      <c r="V1218" s="241"/>
      <c r="W1218" s="241"/>
      <c r="X1218" s="241"/>
      <c r="Y1218" s="241"/>
      <c r="Z1218" s="241"/>
    </row>
    <row r="1219" spans="3:26" ht="16.5">
      <c r="C1219" s="101"/>
      <c r="D1219" s="101"/>
      <c r="E1219" s="101"/>
      <c r="F1219" s="101"/>
      <c r="G1219" s="101"/>
      <c r="H1219" s="101"/>
      <c r="I1219" s="101"/>
      <c r="J1219" s="101"/>
      <c r="S1219" s="101"/>
      <c r="T1219" s="241"/>
      <c r="U1219" s="241"/>
      <c r="V1219" s="241"/>
      <c r="W1219" s="241"/>
      <c r="X1219" s="241"/>
      <c r="Y1219" s="241"/>
      <c r="Z1219" s="241"/>
    </row>
    <row r="1220" spans="3:26" ht="16.5">
      <c r="C1220" s="101"/>
      <c r="D1220" s="101"/>
      <c r="E1220" s="101"/>
      <c r="F1220" s="101"/>
      <c r="G1220" s="101"/>
      <c r="H1220" s="101"/>
      <c r="I1220" s="101"/>
      <c r="J1220" s="101"/>
      <c r="S1220" s="101"/>
      <c r="T1220" s="241"/>
      <c r="U1220" s="241"/>
      <c r="V1220" s="241"/>
      <c r="W1220" s="241"/>
      <c r="X1220" s="241"/>
      <c r="Y1220" s="241"/>
      <c r="Z1220" s="241"/>
    </row>
    <row r="1221" spans="3:26" ht="16.5">
      <c r="C1221" s="101"/>
      <c r="D1221" s="101"/>
      <c r="E1221" s="101"/>
      <c r="F1221" s="101"/>
      <c r="G1221" s="101"/>
      <c r="H1221" s="101"/>
      <c r="I1221" s="101"/>
      <c r="J1221" s="101"/>
      <c r="S1221" s="101"/>
      <c r="T1221" s="241"/>
      <c r="U1221" s="241"/>
      <c r="V1221" s="241"/>
      <c r="W1221" s="241"/>
      <c r="X1221" s="241"/>
      <c r="Y1221" s="241"/>
      <c r="Z1221" s="241"/>
    </row>
    <row r="1222" spans="3:26" ht="16.5">
      <c r="C1222" s="101"/>
      <c r="D1222" s="101"/>
      <c r="E1222" s="101"/>
      <c r="F1222" s="101"/>
      <c r="G1222" s="101"/>
      <c r="H1222" s="101"/>
      <c r="I1222" s="101"/>
      <c r="J1222" s="101"/>
      <c r="S1222" s="101"/>
      <c r="T1222" s="241"/>
      <c r="U1222" s="241"/>
      <c r="V1222" s="241"/>
      <c r="W1222" s="241"/>
      <c r="X1222" s="241"/>
      <c r="Y1222" s="241"/>
      <c r="Z1222" s="241"/>
    </row>
    <row r="1223" spans="3:26" ht="16.5">
      <c r="C1223" s="101"/>
      <c r="D1223" s="101"/>
      <c r="E1223" s="101"/>
      <c r="F1223" s="101"/>
      <c r="G1223" s="101"/>
      <c r="H1223" s="101"/>
      <c r="I1223" s="101"/>
      <c r="J1223" s="101"/>
      <c r="S1223" s="101"/>
      <c r="T1223" s="241"/>
      <c r="U1223" s="241"/>
      <c r="V1223" s="241"/>
      <c r="W1223" s="241"/>
      <c r="X1223" s="241"/>
      <c r="Y1223" s="241"/>
      <c r="Z1223" s="241"/>
    </row>
    <row r="1224" spans="3:26" ht="16.5">
      <c r="C1224" s="101"/>
      <c r="D1224" s="101"/>
      <c r="E1224" s="101"/>
      <c r="F1224" s="101"/>
      <c r="G1224" s="101"/>
      <c r="H1224" s="101"/>
      <c r="I1224" s="101"/>
      <c r="J1224" s="101"/>
      <c r="S1224" s="101"/>
      <c r="T1224" s="241"/>
      <c r="U1224" s="241"/>
      <c r="V1224" s="241"/>
      <c r="W1224" s="241"/>
      <c r="X1224" s="241"/>
      <c r="Y1224" s="241"/>
      <c r="Z1224" s="241"/>
    </row>
    <row r="1225" spans="3:26" ht="16.5">
      <c r="C1225" s="101"/>
      <c r="D1225" s="101"/>
      <c r="E1225" s="101"/>
      <c r="F1225" s="101"/>
      <c r="G1225" s="101"/>
      <c r="H1225" s="101"/>
      <c r="I1225" s="101"/>
      <c r="J1225" s="101"/>
      <c r="S1225" s="101"/>
      <c r="T1225" s="241"/>
      <c r="U1225" s="241"/>
      <c r="V1225" s="241"/>
      <c r="W1225" s="241"/>
      <c r="X1225" s="241"/>
      <c r="Y1225" s="241"/>
      <c r="Z1225" s="241"/>
    </row>
    <row r="1226" spans="3:26" ht="16.5">
      <c r="C1226" s="101"/>
      <c r="D1226" s="101"/>
      <c r="E1226" s="101"/>
      <c r="F1226" s="101"/>
      <c r="G1226" s="101"/>
      <c r="H1226" s="101"/>
      <c r="I1226" s="101"/>
      <c r="J1226" s="101"/>
      <c r="S1226" s="101"/>
      <c r="T1226" s="241"/>
      <c r="U1226" s="241"/>
      <c r="V1226" s="241"/>
      <c r="W1226" s="241"/>
      <c r="X1226" s="241"/>
      <c r="Y1226" s="241"/>
      <c r="Z1226" s="241"/>
    </row>
    <row r="1227" spans="3:26" ht="16.5">
      <c r="C1227" s="101"/>
      <c r="D1227" s="101"/>
      <c r="E1227" s="101"/>
      <c r="F1227" s="101"/>
      <c r="G1227" s="101"/>
      <c r="H1227" s="101"/>
      <c r="I1227" s="101"/>
      <c r="J1227" s="101"/>
      <c r="S1227" s="101"/>
      <c r="T1227" s="241"/>
      <c r="U1227" s="241"/>
      <c r="V1227" s="241"/>
      <c r="W1227" s="241"/>
      <c r="X1227" s="241"/>
      <c r="Y1227" s="241"/>
      <c r="Z1227" s="241"/>
    </row>
    <row r="1228" spans="3:26" ht="16.5">
      <c r="C1228" s="101"/>
      <c r="D1228" s="101"/>
      <c r="E1228" s="101"/>
      <c r="F1228" s="101"/>
      <c r="G1228" s="101"/>
      <c r="H1228" s="101"/>
      <c r="I1228" s="101"/>
      <c r="J1228" s="101"/>
      <c r="S1228" s="101"/>
      <c r="T1228" s="241"/>
      <c r="U1228" s="241"/>
      <c r="V1228" s="241"/>
      <c r="W1228" s="241"/>
      <c r="X1228" s="241"/>
      <c r="Y1228" s="241"/>
      <c r="Z1228" s="241"/>
    </row>
    <row r="1229" spans="3:26" ht="16.5">
      <c r="C1229" s="101"/>
      <c r="D1229" s="101"/>
      <c r="E1229" s="101"/>
      <c r="F1229" s="101"/>
      <c r="G1229" s="101"/>
      <c r="H1229" s="101"/>
      <c r="I1229" s="101"/>
      <c r="J1229" s="101"/>
      <c r="S1229" s="101"/>
      <c r="T1229" s="241"/>
      <c r="U1229" s="241"/>
      <c r="V1229" s="241"/>
      <c r="W1229" s="241"/>
      <c r="X1229" s="241"/>
      <c r="Y1229" s="241"/>
      <c r="Z1229" s="241"/>
    </row>
    <row r="1230" spans="3:26" ht="16.5">
      <c r="C1230" s="101"/>
      <c r="D1230" s="101"/>
      <c r="E1230" s="101"/>
      <c r="F1230" s="101"/>
      <c r="G1230" s="101"/>
      <c r="H1230" s="101"/>
      <c r="I1230" s="101"/>
      <c r="J1230" s="101"/>
      <c r="S1230" s="101"/>
      <c r="T1230" s="241"/>
      <c r="U1230" s="241"/>
      <c r="V1230" s="241"/>
      <c r="W1230" s="241"/>
      <c r="X1230" s="241"/>
      <c r="Y1230" s="241"/>
      <c r="Z1230" s="241"/>
    </row>
    <row r="1231" spans="3:26" ht="16.5">
      <c r="C1231" s="101"/>
      <c r="D1231" s="101"/>
      <c r="E1231" s="101"/>
      <c r="F1231" s="101"/>
      <c r="G1231" s="101"/>
      <c r="H1231" s="101"/>
      <c r="I1231" s="101"/>
      <c r="J1231" s="101"/>
      <c r="S1231" s="101"/>
      <c r="T1231" s="241"/>
      <c r="U1231" s="241"/>
      <c r="V1231" s="241"/>
      <c r="W1231" s="241"/>
      <c r="X1231" s="241"/>
      <c r="Y1231" s="241"/>
      <c r="Z1231" s="241"/>
    </row>
    <row r="1232" spans="3:26" ht="16.5">
      <c r="C1232" s="101"/>
      <c r="D1232" s="101"/>
      <c r="E1232" s="101"/>
      <c r="F1232" s="101"/>
      <c r="G1232" s="101"/>
      <c r="H1232" s="101"/>
      <c r="I1232" s="101"/>
      <c r="J1232" s="101"/>
      <c r="S1232" s="101"/>
      <c r="T1232" s="241"/>
      <c r="U1232" s="241"/>
      <c r="V1232" s="241"/>
      <c r="W1232" s="241"/>
      <c r="X1232" s="241"/>
      <c r="Y1232" s="241"/>
      <c r="Z1232" s="241"/>
    </row>
    <row r="1233" spans="3:26" ht="16.5">
      <c r="C1233" s="101"/>
      <c r="D1233" s="101"/>
      <c r="E1233" s="101"/>
      <c r="F1233" s="101"/>
      <c r="G1233" s="101"/>
      <c r="H1233" s="101"/>
      <c r="I1233" s="101"/>
      <c r="J1233" s="101"/>
      <c r="S1233" s="101"/>
      <c r="T1233" s="241"/>
      <c r="U1233" s="241"/>
      <c r="V1233" s="241"/>
      <c r="W1233" s="241"/>
      <c r="X1233" s="241"/>
      <c r="Y1233" s="241"/>
      <c r="Z1233" s="241"/>
    </row>
    <row r="1234" spans="3:26" ht="16.5">
      <c r="C1234" s="101"/>
      <c r="D1234" s="101"/>
      <c r="E1234" s="101"/>
      <c r="F1234" s="101"/>
      <c r="G1234" s="101"/>
      <c r="H1234" s="101"/>
      <c r="I1234" s="101"/>
      <c r="J1234" s="101"/>
      <c r="S1234" s="101"/>
      <c r="T1234" s="241"/>
      <c r="U1234" s="241"/>
      <c r="V1234" s="241"/>
      <c r="W1234" s="241"/>
      <c r="X1234" s="241"/>
      <c r="Y1234" s="241"/>
      <c r="Z1234" s="241"/>
    </row>
    <row r="1235" spans="3:26" ht="16.5">
      <c r="C1235" s="101"/>
      <c r="D1235" s="101"/>
      <c r="E1235" s="101"/>
      <c r="F1235" s="101"/>
      <c r="G1235" s="101"/>
      <c r="H1235" s="101"/>
      <c r="I1235" s="101"/>
      <c r="J1235" s="101"/>
      <c r="S1235" s="101"/>
      <c r="T1235" s="241"/>
      <c r="U1235" s="241"/>
      <c r="V1235" s="241"/>
      <c r="W1235" s="241"/>
      <c r="X1235" s="241"/>
      <c r="Y1235" s="241"/>
      <c r="Z1235" s="241"/>
    </row>
    <row r="1236" spans="3:26" ht="16.5">
      <c r="C1236" s="101"/>
      <c r="D1236" s="101"/>
      <c r="E1236" s="101"/>
      <c r="F1236" s="101"/>
      <c r="G1236" s="101"/>
      <c r="H1236" s="101"/>
      <c r="I1236" s="101"/>
      <c r="J1236" s="101"/>
      <c r="S1236" s="101"/>
      <c r="T1236" s="241"/>
      <c r="U1236" s="241"/>
      <c r="V1236" s="241"/>
      <c r="W1236" s="241"/>
      <c r="X1236" s="241"/>
      <c r="Y1236" s="241"/>
      <c r="Z1236" s="241"/>
    </row>
    <row r="1237" spans="3:26" ht="16.5">
      <c r="C1237" s="101"/>
      <c r="D1237" s="101"/>
      <c r="E1237" s="101"/>
      <c r="F1237" s="101"/>
      <c r="G1237" s="101"/>
      <c r="H1237" s="101"/>
      <c r="I1237" s="101"/>
      <c r="J1237" s="101"/>
      <c r="S1237" s="101"/>
      <c r="T1237" s="241"/>
      <c r="U1237" s="241"/>
      <c r="V1237" s="241"/>
      <c r="W1237" s="241"/>
      <c r="X1237" s="241"/>
      <c r="Y1237" s="241"/>
      <c r="Z1237" s="241"/>
    </row>
    <row r="1238" spans="3:26" ht="16.5">
      <c r="C1238" s="101"/>
      <c r="D1238" s="101"/>
      <c r="E1238" s="101"/>
      <c r="F1238" s="101"/>
      <c r="G1238" s="101"/>
      <c r="H1238" s="101"/>
      <c r="I1238" s="101"/>
      <c r="J1238" s="101"/>
      <c r="S1238" s="101"/>
      <c r="T1238" s="241"/>
      <c r="U1238" s="241"/>
      <c r="V1238" s="241"/>
      <c r="W1238" s="241"/>
      <c r="X1238" s="241"/>
      <c r="Y1238" s="241"/>
      <c r="Z1238" s="241"/>
    </row>
    <row r="1239" spans="3:26" ht="16.5">
      <c r="C1239" s="101"/>
      <c r="D1239" s="101"/>
      <c r="E1239" s="101"/>
      <c r="F1239" s="101"/>
      <c r="G1239" s="101"/>
      <c r="H1239" s="101"/>
      <c r="I1239" s="101"/>
      <c r="J1239" s="101"/>
      <c r="S1239" s="101"/>
      <c r="T1239" s="241"/>
      <c r="U1239" s="241"/>
      <c r="V1239" s="241"/>
      <c r="W1239" s="241"/>
      <c r="X1239" s="241"/>
      <c r="Y1239" s="241"/>
      <c r="Z1239" s="241"/>
    </row>
    <row r="1240" spans="3:26" ht="16.5">
      <c r="C1240" s="101"/>
      <c r="D1240" s="101"/>
      <c r="E1240" s="101"/>
      <c r="F1240" s="101"/>
      <c r="G1240" s="101"/>
      <c r="H1240" s="101"/>
      <c r="I1240" s="101"/>
      <c r="J1240" s="101"/>
      <c r="S1240" s="101"/>
      <c r="T1240" s="241"/>
      <c r="U1240" s="241"/>
      <c r="V1240" s="241"/>
      <c r="W1240" s="241"/>
      <c r="X1240" s="241"/>
      <c r="Y1240" s="241"/>
      <c r="Z1240" s="241"/>
    </row>
    <row r="1241" spans="3:26" ht="16.5">
      <c r="C1241" s="101"/>
      <c r="D1241" s="101"/>
      <c r="E1241" s="101"/>
      <c r="F1241" s="101"/>
      <c r="G1241" s="101"/>
      <c r="H1241" s="101"/>
      <c r="I1241" s="101"/>
      <c r="J1241" s="101"/>
      <c r="S1241" s="101"/>
      <c r="T1241" s="241"/>
      <c r="U1241" s="241"/>
      <c r="V1241" s="241"/>
      <c r="W1241" s="241"/>
      <c r="X1241" s="241"/>
      <c r="Y1241" s="241"/>
      <c r="Z1241" s="241"/>
    </row>
    <row r="1242" spans="3:26" ht="16.5">
      <c r="C1242" s="101"/>
      <c r="D1242" s="101"/>
      <c r="E1242" s="101"/>
      <c r="F1242" s="101"/>
      <c r="G1242" s="101"/>
      <c r="H1242" s="101"/>
      <c r="I1242" s="101"/>
      <c r="J1242" s="101"/>
      <c r="S1242" s="101"/>
      <c r="T1242" s="241"/>
      <c r="U1242" s="241"/>
      <c r="V1242" s="241"/>
      <c r="W1242" s="241"/>
      <c r="X1242" s="241"/>
      <c r="Y1242" s="241"/>
      <c r="Z1242" s="241"/>
    </row>
    <row r="1243" spans="3:26" ht="16.5">
      <c r="C1243" s="101"/>
      <c r="D1243" s="101"/>
      <c r="E1243" s="101"/>
      <c r="F1243" s="101"/>
      <c r="G1243" s="101"/>
      <c r="H1243" s="101"/>
      <c r="I1243" s="101"/>
      <c r="J1243" s="101"/>
      <c r="S1243" s="101"/>
      <c r="T1243" s="241"/>
      <c r="U1243" s="241"/>
      <c r="V1243" s="241"/>
      <c r="W1243" s="241"/>
      <c r="X1243" s="241"/>
      <c r="Y1243" s="241"/>
      <c r="Z1243" s="241"/>
    </row>
    <row r="1244" spans="3:26" ht="16.5">
      <c r="C1244" s="101"/>
      <c r="D1244" s="101"/>
      <c r="E1244" s="101"/>
      <c r="F1244" s="101"/>
      <c r="G1244" s="101"/>
      <c r="H1244" s="101"/>
      <c r="I1244" s="101"/>
      <c r="J1244" s="101"/>
      <c r="S1244" s="101"/>
      <c r="T1244" s="241"/>
      <c r="U1244" s="241"/>
      <c r="V1244" s="241"/>
      <c r="W1244" s="241"/>
      <c r="X1244" s="241"/>
      <c r="Y1244" s="241"/>
      <c r="Z1244" s="241"/>
    </row>
    <row r="1245" spans="3:26" ht="16.5">
      <c r="C1245" s="101"/>
      <c r="D1245" s="101"/>
      <c r="E1245" s="101"/>
      <c r="F1245" s="101"/>
      <c r="G1245" s="101"/>
      <c r="H1245" s="101"/>
      <c r="I1245" s="101"/>
      <c r="J1245" s="101"/>
      <c r="S1245" s="101"/>
      <c r="T1245" s="241"/>
      <c r="U1245" s="241"/>
      <c r="V1245" s="241"/>
      <c r="W1245" s="241"/>
      <c r="X1245" s="241"/>
      <c r="Y1245" s="241"/>
      <c r="Z1245" s="241"/>
    </row>
    <row r="1246" spans="3:26" ht="16.5">
      <c r="C1246" s="101"/>
      <c r="D1246" s="101"/>
      <c r="E1246" s="101"/>
      <c r="F1246" s="101"/>
      <c r="G1246" s="101"/>
      <c r="H1246" s="101"/>
      <c r="I1246" s="101"/>
      <c r="J1246" s="101"/>
      <c r="S1246" s="101"/>
      <c r="T1246" s="241"/>
      <c r="U1246" s="241"/>
      <c r="V1246" s="241"/>
      <c r="W1246" s="241"/>
      <c r="X1246" s="241"/>
      <c r="Y1246" s="241"/>
      <c r="Z1246" s="241"/>
    </row>
    <row r="1247" spans="3:26" ht="16.5">
      <c r="C1247" s="101"/>
      <c r="D1247" s="101"/>
      <c r="E1247" s="101"/>
      <c r="F1247" s="101"/>
      <c r="G1247" s="101"/>
      <c r="H1247" s="101"/>
      <c r="I1247" s="101"/>
      <c r="J1247" s="101"/>
      <c r="S1247" s="101"/>
      <c r="T1247" s="241"/>
      <c r="U1247" s="241"/>
      <c r="V1247" s="241"/>
      <c r="W1247" s="241"/>
      <c r="X1247" s="241"/>
      <c r="Y1247" s="241"/>
      <c r="Z1247" s="241"/>
    </row>
    <row r="1248" spans="3:26" ht="16.5">
      <c r="C1248" s="101"/>
      <c r="D1248" s="101"/>
      <c r="E1248" s="101"/>
      <c r="F1248" s="101"/>
      <c r="G1248" s="101"/>
      <c r="H1248" s="101"/>
      <c r="I1248" s="101"/>
      <c r="J1248" s="101"/>
      <c r="S1248" s="101"/>
      <c r="T1248" s="241"/>
      <c r="U1248" s="241"/>
      <c r="V1248" s="241"/>
      <c r="W1248" s="241"/>
      <c r="X1248" s="241"/>
      <c r="Y1248" s="241"/>
      <c r="Z1248" s="241"/>
    </row>
    <row r="1249" spans="3:26" ht="16.5">
      <c r="C1249" s="101"/>
      <c r="D1249" s="101"/>
      <c r="E1249" s="101"/>
      <c r="F1249" s="101"/>
      <c r="G1249" s="101"/>
      <c r="H1249" s="101"/>
      <c r="I1249" s="101"/>
      <c r="J1249" s="101"/>
      <c r="S1249" s="101"/>
      <c r="T1249" s="241"/>
      <c r="U1249" s="241"/>
      <c r="V1249" s="241"/>
      <c r="W1249" s="241"/>
      <c r="X1249" s="241"/>
      <c r="Y1249" s="241"/>
      <c r="Z1249" s="241"/>
    </row>
    <row r="1250" spans="3:26" ht="16.5">
      <c r="C1250" s="101"/>
      <c r="D1250" s="101"/>
      <c r="E1250" s="101"/>
      <c r="F1250" s="101"/>
      <c r="G1250" s="101"/>
      <c r="H1250" s="101"/>
      <c r="I1250" s="101"/>
      <c r="J1250" s="101"/>
      <c r="S1250" s="101"/>
      <c r="T1250" s="241"/>
      <c r="U1250" s="241"/>
      <c r="V1250" s="241"/>
      <c r="W1250" s="241"/>
      <c r="X1250" s="241"/>
      <c r="Y1250" s="241"/>
      <c r="Z1250" s="241"/>
    </row>
    <row r="1251" spans="3:26" ht="16.5">
      <c r="C1251" s="101"/>
      <c r="D1251" s="101"/>
      <c r="E1251" s="101"/>
      <c r="F1251" s="101"/>
      <c r="G1251" s="101"/>
      <c r="H1251" s="101"/>
      <c r="I1251" s="101"/>
      <c r="J1251" s="101"/>
      <c r="S1251" s="101"/>
      <c r="T1251" s="241"/>
      <c r="U1251" s="241"/>
      <c r="V1251" s="241"/>
      <c r="W1251" s="241"/>
      <c r="X1251" s="241"/>
      <c r="Y1251" s="241"/>
      <c r="Z1251" s="241"/>
    </row>
    <row r="1252" spans="3:26" ht="16.5">
      <c r="C1252" s="101"/>
      <c r="D1252" s="101"/>
      <c r="E1252" s="101"/>
      <c r="F1252" s="101"/>
      <c r="G1252" s="101"/>
      <c r="H1252" s="101"/>
      <c r="I1252" s="101"/>
      <c r="J1252" s="101"/>
      <c r="S1252" s="101"/>
      <c r="T1252" s="241"/>
      <c r="U1252" s="241"/>
      <c r="V1252" s="241"/>
      <c r="W1252" s="241"/>
      <c r="X1252" s="241"/>
      <c r="Y1252" s="241"/>
      <c r="Z1252" s="241"/>
    </row>
    <row r="1253" spans="3:26" ht="16.5">
      <c r="C1253" s="101"/>
      <c r="D1253" s="101"/>
      <c r="E1253" s="101"/>
      <c r="F1253" s="101"/>
      <c r="G1253" s="101"/>
      <c r="H1253" s="101"/>
      <c r="I1253" s="101"/>
      <c r="J1253" s="101"/>
      <c r="S1253" s="101"/>
      <c r="T1253" s="241"/>
      <c r="U1253" s="241"/>
      <c r="V1253" s="241"/>
      <c r="W1253" s="241"/>
      <c r="X1253" s="241"/>
      <c r="Y1253" s="241"/>
      <c r="Z1253" s="241"/>
    </row>
    <row r="1254" spans="3:26" ht="16.5">
      <c r="C1254" s="101"/>
      <c r="D1254" s="101"/>
      <c r="E1254" s="101"/>
      <c r="F1254" s="101"/>
      <c r="G1254" s="101"/>
      <c r="H1254" s="101"/>
      <c r="I1254" s="101"/>
      <c r="J1254" s="101"/>
      <c r="S1254" s="101"/>
      <c r="T1254" s="241"/>
      <c r="U1254" s="241"/>
      <c r="V1254" s="241"/>
      <c r="W1254" s="241"/>
      <c r="X1254" s="241"/>
      <c r="Y1254" s="241"/>
      <c r="Z1254" s="241"/>
    </row>
    <row r="1255" spans="3:26" ht="16.5">
      <c r="C1255" s="101"/>
      <c r="D1255" s="101"/>
      <c r="E1255" s="101"/>
      <c r="F1255" s="101"/>
      <c r="G1255" s="101"/>
      <c r="H1255" s="101"/>
      <c r="I1255" s="101"/>
      <c r="J1255" s="101"/>
      <c r="S1255" s="101"/>
      <c r="T1255" s="241"/>
      <c r="U1255" s="241"/>
      <c r="V1255" s="241"/>
      <c r="W1255" s="241"/>
      <c r="X1255" s="241"/>
      <c r="Y1255" s="241"/>
      <c r="Z1255" s="241"/>
    </row>
    <row r="1256" spans="3:26" ht="16.5">
      <c r="C1256" s="101"/>
      <c r="D1256" s="101"/>
      <c r="E1256" s="101"/>
      <c r="F1256" s="101"/>
      <c r="G1256" s="101"/>
      <c r="H1256" s="101"/>
      <c r="I1256" s="101"/>
      <c r="J1256" s="101"/>
      <c r="S1256" s="101"/>
      <c r="T1256" s="241"/>
      <c r="U1256" s="241"/>
      <c r="V1256" s="241"/>
      <c r="W1256" s="241"/>
      <c r="X1256" s="241"/>
      <c r="Y1256" s="241"/>
      <c r="Z1256" s="241"/>
    </row>
    <row r="1257" spans="3:26" ht="16.5">
      <c r="C1257" s="101"/>
      <c r="D1257" s="101"/>
      <c r="E1257" s="101"/>
      <c r="F1257" s="101"/>
      <c r="G1257" s="101"/>
      <c r="H1257" s="101"/>
      <c r="I1257" s="101"/>
      <c r="J1257" s="101"/>
      <c r="S1257" s="101"/>
      <c r="T1257" s="241"/>
      <c r="U1257" s="241"/>
      <c r="V1257" s="241"/>
      <c r="W1257" s="241"/>
      <c r="X1257" s="241"/>
      <c r="Y1257" s="241"/>
      <c r="Z1257" s="241"/>
    </row>
    <row r="1258" spans="3:26" ht="16.5">
      <c r="C1258" s="101"/>
      <c r="D1258" s="101"/>
      <c r="E1258" s="101"/>
      <c r="F1258" s="101"/>
      <c r="G1258" s="101"/>
      <c r="H1258" s="101"/>
      <c r="I1258" s="101"/>
      <c r="J1258" s="101"/>
      <c r="S1258" s="101"/>
      <c r="T1258" s="241"/>
      <c r="U1258" s="241"/>
      <c r="V1258" s="241"/>
      <c r="W1258" s="241"/>
      <c r="X1258" s="241"/>
      <c r="Y1258" s="241"/>
      <c r="Z1258" s="241"/>
    </row>
    <row r="1259" spans="3:26" ht="16.5">
      <c r="C1259" s="101"/>
      <c r="D1259" s="101"/>
      <c r="E1259" s="101"/>
      <c r="F1259" s="101"/>
      <c r="G1259" s="101"/>
      <c r="H1259" s="101"/>
      <c r="I1259" s="101"/>
      <c r="J1259" s="101"/>
      <c r="S1259" s="101"/>
      <c r="T1259" s="241"/>
      <c r="U1259" s="241"/>
      <c r="V1259" s="241"/>
      <c r="W1259" s="241"/>
      <c r="X1259" s="241"/>
      <c r="Y1259" s="241"/>
      <c r="Z1259" s="241"/>
    </row>
    <row r="1260" spans="3:26" ht="16.5">
      <c r="C1260" s="101"/>
      <c r="D1260" s="101"/>
      <c r="E1260" s="101"/>
      <c r="F1260" s="101"/>
      <c r="G1260" s="101"/>
      <c r="H1260" s="101"/>
      <c r="I1260" s="101"/>
      <c r="J1260" s="101"/>
      <c r="S1260" s="101"/>
      <c r="T1260" s="241"/>
      <c r="U1260" s="241"/>
      <c r="V1260" s="241"/>
      <c r="W1260" s="241"/>
      <c r="X1260" s="241"/>
      <c r="Y1260" s="241"/>
      <c r="Z1260" s="241"/>
    </row>
    <row r="1261" spans="3:26" ht="16.5">
      <c r="C1261" s="101"/>
      <c r="D1261" s="101"/>
      <c r="E1261" s="101"/>
      <c r="F1261" s="101"/>
      <c r="G1261" s="101"/>
      <c r="H1261" s="101"/>
      <c r="I1261" s="101"/>
      <c r="J1261" s="101"/>
      <c r="S1261" s="101"/>
      <c r="T1261" s="241"/>
      <c r="U1261" s="241"/>
      <c r="V1261" s="241"/>
      <c r="W1261" s="241"/>
      <c r="X1261" s="241"/>
      <c r="Y1261" s="241"/>
      <c r="Z1261" s="241"/>
    </row>
    <row r="1262" spans="3:26" ht="16.5">
      <c r="C1262" s="101"/>
      <c r="D1262" s="101"/>
      <c r="E1262" s="101"/>
      <c r="F1262" s="101"/>
      <c r="G1262" s="101"/>
      <c r="H1262" s="101"/>
      <c r="I1262" s="101"/>
      <c r="J1262" s="101"/>
      <c r="S1262" s="101"/>
      <c r="T1262" s="241"/>
      <c r="U1262" s="241"/>
      <c r="V1262" s="241"/>
      <c r="W1262" s="241"/>
      <c r="X1262" s="241"/>
      <c r="Y1262" s="241"/>
      <c r="Z1262" s="241"/>
    </row>
    <row r="1263" spans="3:26" ht="16.5">
      <c r="C1263" s="101"/>
      <c r="D1263" s="101"/>
      <c r="E1263" s="101"/>
      <c r="F1263" s="101"/>
      <c r="G1263" s="101"/>
      <c r="H1263" s="101"/>
      <c r="I1263" s="101"/>
      <c r="J1263" s="101"/>
      <c r="S1263" s="101"/>
      <c r="T1263" s="241"/>
      <c r="U1263" s="241"/>
      <c r="V1263" s="241"/>
      <c r="W1263" s="241"/>
      <c r="X1263" s="241"/>
      <c r="Y1263" s="241"/>
      <c r="Z1263" s="241"/>
    </row>
    <row r="1264" spans="3:26" ht="16.5">
      <c r="C1264" s="101"/>
      <c r="D1264" s="101"/>
      <c r="E1264" s="101"/>
      <c r="F1264" s="101"/>
      <c r="G1264" s="101"/>
      <c r="H1264" s="101"/>
      <c r="I1264" s="101"/>
      <c r="J1264" s="101"/>
      <c r="S1264" s="101"/>
      <c r="T1264" s="241"/>
      <c r="U1264" s="241"/>
      <c r="V1264" s="241"/>
      <c r="W1264" s="241"/>
      <c r="X1264" s="241"/>
      <c r="Y1264" s="241"/>
      <c r="Z1264" s="241"/>
    </row>
    <row r="1265" spans="3:26" ht="16.5">
      <c r="C1265" s="101"/>
      <c r="D1265" s="101"/>
      <c r="E1265" s="101"/>
      <c r="F1265" s="101"/>
      <c r="G1265" s="101"/>
      <c r="H1265" s="101"/>
      <c r="I1265" s="101"/>
      <c r="J1265" s="101"/>
      <c r="S1265" s="101"/>
      <c r="T1265" s="241"/>
      <c r="U1265" s="241"/>
      <c r="V1265" s="241"/>
      <c r="W1265" s="241"/>
      <c r="X1265" s="241"/>
      <c r="Y1265" s="241"/>
      <c r="Z1265" s="241"/>
    </row>
    <row r="1266" spans="3:26" ht="16.5">
      <c r="C1266" s="101"/>
      <c r="D1266" s="101"/>
      <c r="E1266" s="101"/>
      <c r="F1266" s="101"/>
      <c r="G1266" s="101"/>
      <c r="H1266" s="101"/>
      <c r="I1266" s="101"/>
      <c r="J1266" s="101"/>
      <c r="S1266" s="101"/>
      <c r="T1266" s="241"/>
      <c r="U1266" s="241"/>
      <c r="V1266" s="241"/>
      <c r="W1266" s="241"/>
      <c r="X1266" s="241"/>
      <c r="Y1266" s="241"/>
      <c r="Z1266" s="241"/>
    </row>
    <row r="1267" spans="3:26" ht="16.5">
      <c r="C1267" s="101"/>
      <c r="D1267" s="101"/>
      <c r="E1267" s="101"/>
      <c r="F1267" s="101"/>
      <c r="G1267" s="101"/>
      <c r="H1267" s="101"/>
      <c r="I1267" s="101"/>
      <c r="J1267" s="101"/>
      <c r="S1267" s="101"/>
      <c r="T1267" s="241"/>
      <c r="U1267" s="241"/>
      <c r="V1267" s="241"/>
      <c r="W1267" s="241"/>
      <c r="X1267" s="241"/>
      <c r="Y1267" s="241"/>
      <c r="Z1267" s="241"/>
    </row>
    <row r="1268" spans="3:26" ht="16.5">
      <c r="C1268" s="101"/>
      <c r="D1268" s="101"/>
      <c r="E1268" s="101"/>
      <c r="F1268" s="101"/>
      <c r="G1268" s="101"/>
      <c r="H1268" s="101"/>
      <c r="I1268" s="101"/>
      <c r="J1268" s="101"/>
      <c r="S1268" s="101"/>
      <c r="T1268" s="241"/>
      <c r="U1268" s="241"/>
      <c r="V1268" s="241"/>
      <c r="W1268" s="241"/>
      <c r="X1268" s="241"/>
      <c r="Y1268" s="241"/>
      <c r="Z1268" s="241"/>
    </row>
    <row r="1269" spans="3:26" ht="16.5">
      <c r="C1269" s="101"/>
      <c r="D1269" s="101"/>
      <c r="E1269" s="101"/>
      <c r="F1269" s="101"/>
      <c r="G1269" s="101"/>
      <c r="H1269" s="101"/>
      <c r="I1269" s="101"/>
      <c r="J1269" s="101"/>
      <c r="S1269" s="101"/>
      <c r="T1269" s="241"/>
      <c r="U1269" s="241"/>
      <c r="V1269" s="241"/>
      <c r="W1269" s="241"/>
      <c r="X1269" s="241"/>
      <c r="Y1269" s="241"/>
      <c r="Z1269" s="241"/>
    </row>
    <row r="1270" spans="3:26" ht="16.5">
      <c r="C1270" s="101"/>
      <c r="D1270" s="101"/>
      <c r="E1270" s="101"/>
      <c r="F1270" s="101"/>
      <c r="G1270" s="101"/>
      <c r="H1270" s="101"/>
      <c r="I1270" s="101"/>
      <c r="J1270" s="101"/>
      <c r="S1270" s="101"/>
      <c r="T1270" s="241"/>
      <c r="U1270" s="241"/>
      <c r="V1270" s="241"/>
      <c r="W1270" s="241"/>
      <c r="X1270" s="241"/>
      <c r="Y1270" s="241"/>
      <c r="Z1270" s="241"/>
    </row>
    <row r="1271" spans="3:26" ht="16.5">
      <c r="C1271" s="101"/>
      <c r="D1271" s="101"/>
      <c r="E1271" s="101"/>
      <c r="F1271" s="101"/>
      <c r="G1271" s="101"/>
      <c r="H1271" s="101"/>
      <c r="I1271" s="101"/>
      <c r="J1271" s="101"/>
      <c r="S1271" s="101"/>
      <c r="T1271" s="241"/>
      <c r="U1271" s="241"/>
      <c r="V1271" s="241"/>
      <c r="W1271" s="241"/>
      <c r="X1271" s="241"/>
      <c r="Y1271" s="241"/>
      <c r="Z1271" s="241"/>
    </row>
    <row r="1272" spans="3:26" ht="16.5">
      <c r="C1272" s="101"/>
      <c r="D1272" s="101"/>
      <c r="E1272" s="101"/>
      <c r="F1272" s="101"/>
      <c r="G1272" s="101"/>
      <c r="H1272" s="101"/>
      <c r="I1272" s="101"/>
      <c r="J1272" s="101"/>
      <c r="S1272" s="101"/>
      <c r="T1272" s="241"/>
      <c r="U1272" s="241"/>
      <c r="V1272" s="241"/>
      <c r="W1272" s="241"/>
      <c r="X1272" s="241"/>
      <c r="Y1272" s="241"/>
      <c r="Z1272" s="241"/>
    </row>
    <row r="1273" spans="3:26" ht="16.5">
      <c r="C1273" s="101"/>
      <c r="D1273" s="101"/>
      <c r="E1273" s="101"/>
      <c r="F1273" s="101"/>
      <c r="G1273" s="101"/>
      <c r="H1273" s="101"/>
      <c r="I1273" s="101"/>
      <c r="J1273" s="101"/>
      <c r="S1273" s="101"/>
      <c r="T1273" s="241"/>
      <c r="U1273" s="241"/>
      <c r="V1273" s="241"/>
      <c r="W1273" s="241"/>
      <c r="X1273" s="241"/>
      <c r="Y1273" s="241"/>
      <c r="Z1273" s="241"/>
    </row>
    <row r="1274" spans="3:26" ht="16.5">
      <c r="C1274" s="101"/>
      <c r="D1274" s="101"/>
      <c r="E1274" s="101"/>
      <c r="F1274" s="101"/>
      <c r="G1274" s="101"/>
      <c r="H1274" s="101"/>
      <c r="I1274" s="101"/>
      <c r="J1274" s="101"/>
      <c r="S1274" s="101"/>
      <c r="T1274" s="241"/>
      <c r="U1274" s="241"/>
      <c r="V1274" s="241"/>
      <c r="W1274" s="241"/>
      <c r="X1274" s="241"/>
      <c r="Y1274" s="241"/>
      <c r="Z1274" s="241"/>
    </row>
    <row r="1275" spans="3:26" ht="16.5">
      <c r="C1275" s="101"/>
      <c r="D1275" s="101"/>
      <c r="E1275" s="101"/>
      <c r="F1275" s="101"/>
      <c r="G1275" s="101"/>
      <c r="H1275" s="101"/>
      <c r="I1275" s="101"/>
      <c r="J1275" s="101"/>
      <c r="S1275" s="101"/>
      <c r="T1275" s="241"/>
      <c r="U1275" s="241"/>
      <c r="V1275" s="241"/>
      <c r="W1275" s="241"/>
      <c r="X1275" s="241"/>
      <c r="Y1275" s="241"/>
      <c r="Z1275" s="241"/>
    </row>
    <row r="1276" spans="3:26" ht="16.5">
      <c r="C1276" s="101"/>
      <c r="D1276" s="101"/>
      <c r="E1276" s="101"/>
      <c r="F1276" s="101"/>
      <c r="G1276" s="101"/>
      <c r="H1276" s="101"/>
      <c r="I1276" s="101"/>
      <c r="J1276" s="101"/>
      <c r="S1276" s="101"/>
      <c r="T1276" s="241"/>
      <c r="U1276" s="241"/>
      <c r="V1276" s="241"/>
      <c r="W1276" s="241"/>
      <c r="X1276" s="241"/>
      <c r="Y1276" s="241"/>
      <c r="Z1276" s="241"/>
    </row>
    <row r="1277" spans="3:26" ht="16.5">
      <c r="C1277" s="101"/>
      <c r="D1277" s="101"/>
      <c r="E1277" s="101"/>
      <c r="F1277" s="101"/>
      <c r="G1277" s="101"/>
      <c r="H1277" s="101"/>
      <c r="I1277" s="101"/>
      <c r="J1277" s="101"/>
      <c r="S1277" s="101"/>
      <c r="T1277" s="241"/>
      <c r="U1277" s="241"/>
      <c r="V1277" s="241"/>
      <c r="W1277" s="241"/>
      <c r="X1277" s="241"/>
      <c r="Y1277" s="241"/>
      <c r="Z1277" s="241"/>
    </row>
    <row r="1278" spans="3:26" ht="16.5">
      <c r="C1278" s="101"/>
      <c r="D1278" s="101"/>
      <c r="E1278" s="101"/>
      <c r="F1278" s="101"/>
      <c r="G1278" s="101"/>
      <c r="H1278" s="101"/>
      <c r="I1278" s="101"/>
      <c r="J1278" s="101"/>
      <c r="S1278" s="101"/>
      <c r="T1278" s="241"/>
      <c r="U1278" s="241"/>
      <c r="V1278" s="241"/>
      <c r="W1278" s="241"/>
      <c r="X1278" s="241"/>
      <c r="Y1278" s="241"/>
      <c r="Z1278" s="241"/>
    </row>
    <row r="1279" spans="3:26" ht="16.5">
      <c r="C1279" s="101"/>
      <c r="D1279" s="101"/>
      <c r="E1279" s="101"/>
      <c r="F1279" s="101"/>
      <c r="G1279" s="101"/>
      <c r="H1279" s="101"/>
      <c r="I1279" s="101"/>
      <c r="J1279" s="101"/>
      <c r="S1279" s="101"/>
      <c r="T1279" s="241"/>
      <c r="U1279" s="241"/>
      <c r="V1279" s="241"/>
      <c r="W1279" s="241"/>
      <c r="X1279" s="241"/>
      <c r="Y1279" s="241"/>
      <c r="Z1279" s="241"/>
    </row>
    <row r="1280" spans="3:26" ht="16.5">
      <c r="C1280" s="101"/>
      <c r="D1280" s="101"/>
      <c r="E1280" s="101"/>
      <c r="F1280" s="101"/>
      <c r="G1280" s="101"/>
      <c r="H1280" s="101"/>
      <c r="I1280" s="101"/>
      <c r="J1280" s="101"/>
      <c r="S1280" s="101"/>
      <c r="T1280" s="241"/>
      <c r="U1280" s="241"/>
      <c r="V1280" s="241"/>
      <c r="W1280" s="241"/>
      <c r="X1280" s="241"/>
      <c r="Y1280" s="241"/>
      <c r="Z1280" s="241"/>
    </row>
    <row r="1281" spans="3:26" ht="16.5">
      <c r="C1281" s="101"/>
      <c r="D1281" s="101"/>
      <c r="E1281" s="101"/>
      <c r="F1281" s="101"/>
      <c r="G1281" s="101"/>
      <c r="H1281" s="101"/>
      <c r="I1281" s="101"/>
      <c r="J1281" s="101"/>
      <c r="S1281" s="101"/>
      <c r="T1281" s="241"/>
      <c r="U1281" s="241"/>
      <c r="V1281" s="241"/>
      <c r="W1281" s="241"/>
      <c r="X1281" s="241"/>
      <c r="Y1281" s="241"/>
      <c r="Z1281" s="241"/>
    </row>
    <row r="1282" spans="3:26" ht="16.5">
      <c r="C1282" s="101"/>
      <c r="D1282" s="101"/>
      <c r="E1282" s="101"/>
      <c r="F1282" s="101"/>
      <c r="G1282" s="101"/>
      <c r="H1282" s="101"/>
      <c r="I1282" s="101"/>
      <c r="J1282" s="101"/>
      <c r="S1282" s="101"/>
      <c r="T1282" s="241"/>
      <c r="U1282" s="241"/>
      <c r="V1282" s="241"/>
      <c r="W1282" s="241"/>
      <c r="X1282" s="241"/>
      <c r="Y1282" s="241"/>
      <c r="Z1282" s="241"/>
    </row>
    <row r="1283" spans="3:26" ht="16.5">
      <c r="C1283" s="101"/>
      <c r="D1283" s="101"/>
      <c r="E1283" s="101"/>
      <c r="F1283" s="101"/>
      <c r="G1283" s="101"/>
      <c r="H1283" s="101"/>
      <c r="I1283" s="101"/>
      <c r="J1283" s="101"/>
      <c r="S1283" s="101"/>
      <c r="T1283" s="241"/>
      <c r="U1283" s="241"/>
      <c r="V1283" s="241"/>
      <c r="W1283" s="241"/>
      <c r="X1283" s="241"/>
      <c r="Y1283" s="241"/>
      <c r="Z1283" s="241"/>
    </row>
    <row r="1284" spans="3:26" ht="16.5">
      <c r="C1284" s="101"/>
      <c r="D1284" s="101"/>
      <c r="E1284" s="101"/>
      <c r="F1284" s="101"/>
      <c r="G1284" s="101"/>
      <c r="H1284" s="101"/>
      <c r="I1284" s="101"/>
      <c r="J1284" s="101"/>
      <c r="S1284" s="101"/>
      <c r="T1284" s="241"/>
      <c r="U1284" s="241"/>
      <c r="V1284" s="241"/>
      <c r="W1284" s="241"/>
      <c r="X1284" s="241"/>
      <c r="Y1284" s="241"/>
      <c r="Z1284" s="241"/>
    </row>
    <row r="1285" spans="3:26" ht="16.5">
      <c r="C1285" s="101"/>
      <c r="D1285" s="101"/>
      <c r="E1285" s="101"/>
      <c r="F1285" s="101"/>
      <c r="G1285" s="101"/>
      <c r="H1285" s="101"/>
      <c r="I1285" s="101"/>
      <c r="J1285" s="101"/>
      <c r="S1285" s="101"/>
      <c r="T1285" s="241"/>
      <c r="U1285" s="241"/>
      <c r="V1285" s="241"/>
      <c r="W1285" s="241"/>
      <c r="X1285" s="241"/>
      <c r="Y1285" s="241"/>
      <c r="Z1285" s="241"/>
    </row>
    <row r="1286" spans="3:26" ht="16.5">
      <c r="C1286" s="101"/>
      <c r="D1286" s="101"/>
      <c r="E1286" s="101"/>
      <c r="F1286" s="101"/>
      <c r="G1286" s="101"/>
      <c r="H1286" s="101"/>
      <c r="I1286" s="101"/>
      <c r="J1286" s="101"/>
      <c r="S1286" s="101"/>
      <c r="T1286" s="241"/>
      <c r="U1286" s="241"/>
      <c r="V1286" s="241"/>
      <c r="W1286" s="241"/>
      <c r="X1286" s="241"/>
      <c r="Y1286" s="241"/>
      <c r="Z1286" s="241"/>
    </row>
    <row r="1287" spans="3:26" ht="16.5">
      <c r="C1287" s="101"/>
      <c r="D1287" s="101"/>
      <c r="E1287" s="101"/>
      <c r="F1287" s="101"/>
      <c r="G1287" s="101"/>
      <c r="H1287" s="101"/>
      <c r="I1287" s="101"/>
      <c r="J1287" s="101"/>
      <c r="S1287" s="101"/>
      <c r="T1287" s="241"/>
      <c r="U1287" s="241"/>
      <c r="V1287" s="241"/>
      <c r="W1287" s="241"/>
      <c r="X1287" s="241"/>
      <c r="Y1287" s="241"/>
      <c r="Z1287" s="241"/>
    </row>
    <row r="1288" spans="3:26" ht="16.5">
      <c r="C1288" s="101"/>
      <c r="D1288" s="101"/>
      <c r="E1288" s="101"/>
      <c r="F1288" s="101"/>
      <c r="G1288" s="101"/>
      <c r="H1288" s="101"/>
      <c r="I1288" s="101"/>
      <c r="J1288" s="101"/>
      <c r="S1288" s="101"/>
      <c r="T1288" s="241"/>
      <c r="U1288" s="241"/>
      <c r="V1288" s="241"/>
      <c r="W1288" s="241"/>
      <c r="X1288" s="241"/>
      <c r="Y1288" s="241"/>
      <c r="Z1288" s="241"/>
    </row>
    <row r="1289" spans="3:26" ht="16.5">
      <c r="C1289" s="101"/>
      <c r="D1289" s="101"/>
      <c r="E1289" s="101"/>
      <c r="F1289" s="101"/>
      <c r="G1289" s="101"/>
      <c r="H1289" s="101"/>
      <c r="I1289" s="101"/>
      <c r="J1289" s="101"/>
      <c r="S1289" s="101"/>
      <c r="T1289" s="241"/>
      <c r="U1289" s="241"/>
      <c r="V1289" s="241"/>
      <c r="W1289" s="241"/>
      <c r="X1289" s="241"/>
      <c r="Y1289" s="241"/>
      <c r="Z1289" s="241"/>
    </row>
    <row r="1290" spans="3:26" ht="16.5">
      <c r="C1290" s="101"/>
      <c r="D1290" s="101"/>
      <c r="E1290" s="101"/>
      <c r="F1290" s="101"/>
      <c r="G1290" s="101"/>
      <c r="H1290" s="101"/>
      <c r="I1290" s="101"/>
      <c r="J1290" s="101"/>
      <c r="S1290" s="101"/>
      <c r="T1290" s="241"/>
      <c r="U1290" s="241"/>
      <c r="V1290" s="241"/>
      <c r="W1290" s="241"/>
      <c r="X1290" s="241"/>
      <c r="Y1290" s="241"/>
      <c r="Z1290" s="241"/>
    </row>
    <row r="1291" spans="3:26" ht="16.5">
      <c r="C1291" s="101"/>
      <c r="D1291" s="101"/>
      <c r="E1291" s="101"/>
      <c r="F1291" s="101"/>
      <c r="G1291" s="101"/>
      <c r="H1291" s="101"/>
      <c r="I1291" s="101"/>
      <c r="J1291" s="101"/>
      <c r="S1291" s="101"/>
      <c r="T1291" s="241"/>
      <c r="U1291" s="241"/>
      <c r="V1291" s="241"/>
      <c r="W1291" s="241"/>
      <c r="X1291" s="241"/>
      <c r="Y1291" s="241"/>
      <c r="Z1291" s="241"/>
    </row>
    <row r="1292" spans="3:26" ht="16.5">
      <c r="C1292" s="101"/>
      <c r="D1292" s="101"/>
      <c r="E1292" s="101"/>
      <c r="F1292" s="101"/>
      <c r="G1292" s="101"/>
      <c r="H1292" s="101"/>
      <c r="I1292" s="101"/>
      <c r="J1292" s="101"/>
      <c r="S1292" s="101"/>
      <c r="T1292" s="241"/>
      <c r="U1292" s="241"/>
      <c r="V1292" s="241"/>
      <c r="W1292" s="241"/>
      <c r="X1292" s="241"/>
      <c r="Y1292" s="241"/>
      <c r="Z1292" s="241"/>
    </row>
    <row r="1293" spans="3:26" ht="16.5">
      <c r="C1293" s="101"/>
      <c r="D1293" s="101"/>
      <c r="E1293" s="101"/>
      <c r="F1293" s="101"/>
      <c r="G1293" s="101"/>
      <c r="H1293" s="101"/>
      <c r="I1293" s="101"/>
      <c r="J1293" s="101"/>
      <c r="S1293" s="101"/>
      <c r="T1293" s="241"/>
      <c r="U1293" s="241"/>
      <c r="V1293" s="241"/>
      <c r="W1293" s="241"/>
      <c r="X1293" s="241"/>
      <c r="Y1293" s="241"/>
      <c r="Z1293" s="241"/>
    </row>
    <row r="1294" spans="3:26" ht="16.5">
      <c r="C1294" s="101"/>
      <c r="D1294" s="101"/>
      <c r="E1294" s="101"/>
      <c r="F1294" s="101"/>
      <c r="G1294" s="101"/>
      <c r="H1294" s="101"/>
      <c r="I1294" s="101"/>
      <c r="J1294" s="101"/>
      <c r="S1294" s="101"/>
      <c r="T1294" s="241"/>
      <c r="U1294" s="241"/>
      <c r="V1294" s="241"/>
      <c r="W1294" s="241"/>
      <c r="X1294" s="241"/>
      <c r="Y1294" s="241"/>
      <c r="Z1294" s="241"/>
    </row>
    <row r="1295" spans="3:26" ht="16.5">
      <c r="C1295" s="101"/>
      <c r="D1295" s="101"/>
      <c r="E1295" s="101"/>
      <c r="F1295" s="101"/>
      <c r="G1295" s="101"/>
      <c r="H1295" s="101"/>
      <c r="I1295" s="101"/>
      <c r="J1295" s="101"/>
      <c r="S1295" s="101"/>
      <c r="T1295" s="241"/>
      <c r="U1295" s="241"/>
      <c r="V1295" s="241"/>
      <c r="W1295" s="241"/>
      <c r="X1295" s="241"/>
      <c r="Y1295" s="241"/>
      <c r="Z1295" s="241"/>
    </row>
    <row r="1296" spans="3:26" ht="16.5">
      <c r="C1296" s="101"/>
      <c r="D1296" s="101"/>
      <c r="E1296" s="101"/>
      <c r="F1296" s="101"/>
      <c r="G1296" s="101"/>
      <c r="H1296" s="101"/>
      <c r="I1296" s="101"/>
      <c r="J1296" s="101"/>
      <c r="S1296" s="101"/>
      <c r="T1296" s="241"/>
      <c r="U1296" s="241"/>
      <c r="V1296" s="241"/>
      <c r="W1296" s="241"/>
      <c r="X1296" s="241"/>
      <c r="Y1296" s="241"/>
      <c r="Z1296" s="241"/>
    </row>
    <row r="1297" spans="3:26" ht="16.5">
      <c r="C1297" s="101"/>
      <c r="D1297" s="101"/>
      <c r="E1297" s="101"/>
      <c r="F1297" s="101"/>
      <c r="G1297" s="101"/>
      <c r="H1297" s="101"/>
      <c r="I1297" s="101"/>
      <c r="J1297" s="101"/>
      <c r="S1297" s="101"/>
      <c r="T1297" s="241"/>
      <c r="U1297" s="241"/>
      <c r="V1297" s="241"/>
      <c r="W1297" s="241"/>
      <c r="X1297" s="241"/>
      <c r="Y1297" s="241"/>
      <c r="Z1297" s="241"/>
    </row>
    <row r="1298" spans="3:26" ht="16.5">
      <c r="C1298" s="101"/>
      <c r="D1298" s="101"/>
      <c r="E1298" s="101"/>
      <c r="F1298" s="101"/>
      <c r="G1298" s="101"/>
      <c r="H1298" s="101"/>
      <c r="I1298" s="101"/>
      <c r="J1298" s="101"/>
      <c r="S1298" s="101"/>
      <c r="T1298" s="241"/>
      <c r="U1298" s="241"/>
      <c r="V1298" s="241"/>
      <c r="W1298" s="241"/>
      <c r="X1298" s="241"/>
      <c r="Y1298" s="241"/>
      <c r="Z1298" s="241"/>
    </row>
    <row r="1299" spans="3:26" ht="16.5">
      <c r="C1299" s="101"/>
      <c r="D1299" s="101"/>
      <c r="E1299" s="101"/>
      <c r="F1299" s="101"/>
      <c r="G1299" s="101"/>
      <c r="H1299" s="101"/>
      <c r="I1299" s="101"/>
      <c r="J1299" s="101"/>
      <c r="S1299" s="101"/>
      <c r="T1299" s="241"/>
      <c r="U1299" s="241"/>
      <c r="V1299" s="241"/>
      <c r="W1299" s="241"/>
      <c r="X1299" s="241"/>
      <c r="Y1299" s="241"/>
      <c r="Z1299" s="241"/>
    </row>
    <row r="1300" spans="3:26" ht="16.5">
      <c r="C1300" s="101"/>
      <c r="D1300" s="101"/>
      <c r="E1300" s="101"/>
      <c r="F1300" s="101"/>
      <c r="G1300" s="101"/>
      <c r="H1300" s="101"/>
      <c r="I1300" s="101"/>
      <c r="J1300" s="101"/>
      <c r="S1300" s="101"/>
      <c r="T1300" s="241"/>
      <c r="U1300" s="241"/>
      <c r="V1300" s="241"/>
      <c r="W1300" s="241"/>
      <c r="X1300" s="241"/>
      <c r="Y1300" s="241"/>
      <c r="Z1300" s="241"/>
    </row>
    <row r="1301" spans="3:26" ht="16.5">
      <c r="C1301" s="101"/>
      <c r="D1301" s="101"/>
      <c r="E1301" s="101"/>
      <c r="F1301" s="101"/>
      <c r="G1301" s="101"/>
      <c r="H1301" s="101"/>
      <c r="I1301" s="101"/>
      <c r="J1301" s="101"/>
      <c r="S1301" s="101"/>
      <c r="T1301" s="241"/>
      <c r="U1301" s="241"/>
      <c r="V1301" s="241"/>
      <c r="W1301" s="241"/>
      <c r="X1301" s="241"/>
      <c r="Y1301" s="241"/>
      <c r="Z1301" s="241"/>
    </row>
    <row r="1302" spans="3:26" ht="16.5">
      <c r="C1302" s="101"/>
      <c r="D1302" s="101"/>
      <c r="E1302" s="101"/>
      <c r="F1302" s="101"/>
      <c r="G1302" s="101"/>
      <c r="H1302" s="101"/>
      <c r="I1302" s="101"/>
      <c r="J1302" s="101"/>
      <c r="S1302" s="101"/>
      <c r="T1302" s="241"/>
      <c r="U1302" s="241"/>
      <c r="V1302" s="241"/>
      <c r="W1302" s="241"/>
      <c r="X1302" s="241"/>
      <c r="Y1302" s="241"/>
      <c r="Z1302" s="241"/>
    </row>
    <row r="1303" spans="3:26" ht="16.5">
      <c r="C1303" s="101"/>
      <c r="D1303" s="101"/>
      <c r="E1303" s="101"/>
      <c r="F1303" s="101"/>
      <c r="G1303" s="101"/>
      <c r="H1303" s="101"/>
      <c r="I1303" s="101"/>
      <c r="J1303" s="101"/>
      <c r="S1303" s="101"/>
      <c r="T1303" s="241"/>
      <c r="U1303" s="241"/>
      <c r="V1303" s="241"/>
      <c r="W1303" s="241"/>
      <c r="X1303" s="241"/>
      <c r="Y1303" s="241"/>
      <c r="Z1303" s="241"/>
    </row>
    <row r="1304" spans="3:26" ht="16.5">
      <c r="C1304" s="101"/>
      <c r="D1304" s="101"/>
      <c r="E1304" s="101"/>
      <c r="F1304" s="101"/>
      <c r="G1304" s="101"/>
      <c r="H1304" s="101"/>
      <c r="I1304" s="101"/>
      <c r="J1304" s="101"/>
      <c r="S1304" s="101"/>
      <c r="T1304" s="241"/>
      <c r="U1304" s="241"/>
      <c r="V1304" s="241"/>
      <c r="W1304" s="241"/>
      <c r="X1304" s="241"/>
      <c r="Y1304" s="241"/>
      <c r="Z1304" s="241"/>
    </row>
    <row r="1305" spans="3:26" ht="16.5">
      <c r="C1305" s="101"/>
      <c r="D1305" s="101"/>
      <c r="E1305" s="101"/>
      <c r="F1305" s="101"/>
      <c r="G1305" s="101"/>
      <c r="H1305" s="101"/>
      <c r="I1305" s="101"/>
      <c r="J1305" s="101"/>
      <c r="S1305" s="101"/>
      <c r="T1305" s="241"/>
      <c r="U1305" s="241"/>
      <c r="V1305" s="241"/>
      <c r="W1305" s="241"/>
      <c r="X1305" s="241"/>
      <c r="Y1305" s="241"/>
      <c r="Z1305" s="241"/>
    </row>
    <row r="1306" spans="3:26" ht="16.5">
      <c r="C1306" s="101"/>
      <c r="D1306" s="101"/>
      <c r="E1306" s="101"/>
      <c r="F1306" s="101"/>
      <c r="G1306" s="101"/>
      <c r="H1306" s="101"/>
      <c r="I1306" s="101"/>
      <c r="J1306" s="101"/>
      <c r="S1306" s="101"/>
      <c r="T1306" s="241"/>
      <c r="U1306" s="241"/>
      <c r="V1306" s="241"/>
      <c r="W1306" s="241"/>
      <c r="X1306" s="241"/>
      <c r="Y1306" s="241"/>
      <c r="Z1306" s="241"/>
    </row>
    <row r="1307" spans="3:26" ht="16.5">
      <c r="C1307" s="101"/>
      <c r="D1307" s="101"/>
      <c r="E1307" s="101"/>
      <c r="F1307" s="101"/>
      <c r="G1307" s="101"/>
      <c r="H1307" s="101"/>
      <c r="I1307" s="101"/>
      <c r="J1307" s="101"/>
      <c r="S1307" s="101"/>
      <c r="T1307" s="241"/>
      <c r="U1307" s="241"/>
      <c r="V1307" s="241"/>
      <c r="W1307" s="241"/>
      <c r="X1307" s="241"/>
      <c r="Y1307" s="241"/>
      <c r="Z1307" s="241"/>
    </row>
    <row r="1308" spans="3:26" ht="16.5">
      <c r="C1308" s="101"/>
      <c r="D1308" s="101"/>
      <c r="E1308" s="101"/>
      <c r="F1308" s="101"/>
      <c r="G1308" s="101"/>
      <c r="H1308" s="101"/>
      <c r="I1308" s="101"/>
      <c r="J1308" s="101"/>
      <c r="S1308" s="101"/>
      <c r="T1308" s="241"/>
      <c r="U1308" s="241"/>
      <c r="V1308" s="241"/>
      <c r="W1308" s="241"/>
      <c r="X1308" s="241"/>
      <c r="Y1308" s="241"/>
      <c r="Z1308" s="241"/>
    </row>
    <row r="1309" spans="3:26" ht="16.5">
      <c r="C1309" s="101"/>
      <c r="D1309" s="101"/>
      <c r="E1309" s="101"/>
      <c r="F1309" s="101"/>
      <c r="G1309" s="101"/>
      <c r="H1309" s="101"/>
      <c r="I1309" s="101"/>
      <c r="J1309" s="101"/>
      <c r="S1309" s="101"/>
      <c r="T1309" s="241"/>
      <c r="U1309" s="241"/>
      <c r="V1309" s="241"/>
      <c r="W1309" s="241"/>
      <c r="X1309" s="241"/>
      <c r="Y1309" s="241"/>
      <c r="Z1309" s="241"/>
    </row>
    <row r="1310" spans="3:26" ht="16.5">
      <c r="C1310" s="101"/>
      <c r="D1310" s="101"/>
      <c r="E1310" s="101"/>
      <c r="F1310" s="101"/>
      <c r="G1310" s="101"/>
      <c r="H1310" s="101"/>
      <c r="I1310" s="101"/>
      <c r="J1310" s="101"/>
      <c r="S1310" s="101"/>
      <c r="T1310" s="241"/>
      <c r="U1310" s="241"/>
      <c r="V1310" s="241"/>
      <c r="W1310" s="241"/>
      <c r="X1310" s="241"/>
      <c r="Y1310" s="241"/>
      <c r="Z1310" s="241"/>
    </row>
    <row r="1311" spans="3:26" ht="16.5">
      <c r="C1311" s="101"/>
      <c r="D1311" s="101"/>
      <c r="E1311" s="101"/>
      <c r="F1311" s="101"/>
      <c r="G1311" s="101"/>
      <c r="H1311" s="101"/>
      <c r="I1311" s="101"/>
      <c r="J1311" s="101"/>
      <c r="S1311" s="101"/>
      <c r="T1311" s="241"/>
      <c r="U1311" s="241"/>
      <c r="V1311" s="241"/>
      <c r="W1311" s="241"/>
      <c r="X1311" s="241"/>
      <c r="Y1311" s="241"/>
      <c r="Z1311" s="241"/>
    </row>
    <row r="1312" spans="3:26" ht="16.5">
      <c r="C1312" s="101"/>
      <c r="D1312" s="101"/>
      <c r="E1312" s="101"/>
      <c r="F1312" s="101"/>
      <c r="G1312" s="101"/>
      <c r="H1312" s="101"/>
      <c r="I1312" s="101"/>
      <c r="J1312" s="101"/>
      <c r="S1312" s="101"/>
      <c r="T1312" s="241"/>
      <c r="U1312" s="241"/>
      <c r="V1312" s="241"/>
      <c r="W1312" s="241"/>
      <c r="X1312" s="241"/>
      <c r="Y1312" s="241"/>
      <c r="Z1312" s="241"/>
    </row>
    <row r="1313" spans="3:26" ht="16.5">
      <c r="C1313" s="101"/>
      <c r="D1313" s="101"/>
      <c r="E1313" s="101"/>
      <c r="F1313" s="101"/>
      <c r="G1313" s="101"/>
      <c r="H1313" s="101"/>
      <c r="I1313" s="101"/>
      <c r="J1313" s="101"/>
      <c r="S1313" s="101"/>
      <c r="T1313" s="241"/>
      <c r="U1313" s="241"/>
      <c r="V1313" s="241"/>
      <c r="W1313" s="241"/>
      <c r="X1313" s="241"/>
      <c r="Y1313" s="241"/>
      <c r="Z1313" s="241"/>
    </row>
    <row r="1314" spans="3:26" ht="16.5">
      <c r="C1314" s="101"/>
      <c r="D1314" s="101"/>
      <c r="E1314" s="101"/>
      <c r="F1314" s="101"/>
      <c r="G1314" s="101"/>
      <c r="H1314" s="101"/>
      <c r="I1314" s="101"/>
      <c r="J1314" s="101"/>
      <c r="S1314" s="101"/>
      <c r="T1314" s="241"/>
      <c r="U1314" s="241"/>
      <c r="V1314" s="241"/>
      <c r="W1314" s="241"/>
      <c r="X1314" s="241"/>
      <c r="Y1314" s="241"/>
      <c r="Z1314" s="241"/>
    </row>
    <row r="1315" spans="3:26" ht="16.5">
      <c r="C1315" s="101"/>
      <c r="D1315" s="101"/>
      <c r="E1315" s="101"/>
      <c r="F1315" s="101"/>
      <c r="G1315" s="101"/>
      <c r="H1315" s="101"/>
      <c r="I1315" s="101"/>
      <c r="J1315" s="101"/>
      <c r="S1315" s="101"/>
      <c r="T1315" s="241"/>
      <c r="U1315" s="241"/>
      <c r="V1315" s="241"/>
      <c r="W1315" s="241"/>
      <c r="X1315" s="241"/>
      <c r="Y1315" s="241"/>
      <c r="Z1315" s="241"/>
    </row>
    <row r="1316" spans="3:26" ht="16.5">
      <c r="C1316" s="101"/>
      <c r="D1316" s="101"/>
      <c r="E1316" s="101"/>
      <c r="F1316" s="101"/>
      <c r="G1316" s="101"/>
      <c r="H1316" s="101"/>
      <c r="I1316" s="101"/>
      <c r="J1316" s="101"/>
      <c r="S1316" s="101"/>
      <c r="T1316" s="241"/>
      <c r="U1316" s="241"/>
      <c r="V1316" s="241"/>
      <c r="W1316" s="241"/>
      <c r="X1316" s="241"/>
      <c r="Y1316" s="241"/>
      <c r="Z1316" s="241"/>
    </row>
    <row r="1317" spans="3:26" ht="16.5">
      <c r="C1317" s="101"/>
      <c r="D1317" s="101"/>
      <c r="E1317" s="101"/>
      <c r="F1317" s="101"/>
      <c r="G1317" s="101"/>
      <c r="H1317" s="101"/>
      <c r="I1317" s="101"/>
      <c r="J1317" s="101"/>
      <c r="S1317" s="101"/>
      <c r="T1317" s="241"/>
      <c r="U1317" s="241"/>
      <c r="V1317" s="241"/>
      <c r="W1317" s="241"/>
      <c r="X1317" s="241"/>
      <c r="Y1317" s="241"/>
      <c r="Z1317" s="241"/>
    </row>
    <row r="1318" spans="3:26" ht="16.5">
      <c r="C1318" s="101"/>
      <c r="D1318" s="101"/>
      <c r="E1318" s="101"/>
      <c r="F1318" s="101"/>
      <c r="G1318" s="101"/>
      <c r="H1318" s="101"/>
      <c r="I1318" s="101"/>
      <c r="J1318" s="101"/>
      <c r="S1318" s="101"/>
      <c r="T1318" s="241"/>
      <c r="U1318" s="241"/>
      <c r="V1318" s="241"/>
      <c r="W1318" s="241"/>
      <c r="X1318" s="241"/>
      <c r="Y1318" s="241"/>
      <c r="Z1318" s="241"/>
    </row>
    <row r="1319" spans="3:26" ht="16.5">
      <c r="C1319" s="101"/>
      <c r="D1319" s="101"/>
      <c r="E1319" s="101"/>
      <c r="F1319" s="101"/>
      <c r="G1319" s="101"/>
      <c r="H1319" s="101"/>
      <c r="I1319" s="101"/>
      <c r="J1319" s="101"/>
      <c r="S1319" s="101"/>
      <c r="T1319" s="241"/>
      <c r="U1319" s="241"/>
      <c r="V1319" s="241"/>
      <c r="W1319" s="241"/>
      <c r="X1319" s="241"/>
      <c r="Y1319" s="241"/>
      <c r="Z1319" s="241"/>
    </row>
    <row r="1320" spans="3:26" ht="16.5">
      <c r="C1320" s="101"/>
      <c r="D1320" s="101"/>
      <c r="E1320" s="101"/>
      <c r="F1320" s="101"/>
      <c r="G1320" s="101"/>
      <c r="H1320" s="101"/>
      <c r="I1320" s="101"/>
      <c r="J1320" s="101"/>
      <c r="S1320" s="101"/>
      <c r="T1320" s="241"/>
      <c r="U1320" s="241"/>
      <c r="V1320" s="241"/>
      <c r="W1320" s="241"/>
      <c r="X1320" s="241"/>
      <c r="Y1320" s="241"/>
      <c r="Z1320" s="241"/>
    </row>
    <row r="1321" spans="3:26" ht="16.5">
      <c r="C1321" s="101"/>
      <c r="D1321" s="101"/>
      <c r="E1321" s="101"/>
      <c r="F1321" s="101"/>
      <c r="G1321" s="101"/>
      <c r="H1321" s="101"/>
      <c r="I1321" s="101"/>
      <c r="J1321" s="101"/>
      <c r="S1321" s="101"/>
      <c r="T1321" s="241"/>
      <c r="U1321" s="241"/>
      <c r="V1321" s="241"/>
      <c r="W1321" s="241"/>
      <c r="X1321" s="241"/>
      <c r="Y1321" s="241"/>
      <c r="Z1321" s="241"/>
    </row>
    <row r="1322" spans="3:26" ht="16.5">
      <c r="C1322" s="101"/>
      <c r="D1322" s="101"/>
      <c r="E1322" s="101"/>
      <c r="F1322" s="101"/>
      <c r="G1322" s="101"/>
      <c r="H1322" s="101"/>
      <c r="I1322" s="101"/>
      <c r="J1322" s="101"/>
      <c r="S1322" s="101"/>
      <c r="T1322" s="241"/>
      <c r="U1322" s="241"/>
      <c r="V1322" s="241"/>
      <c r="W1322" s="241"/>
      <c r="X1322" s="241"/>
      <c r="Y1322" s="241"/>
      <c r="Z1322" s="241"/>
    </row>
    <row r="1323" spans="3:26" ht="16.5">
      <c r="C1323" s="101"/>
      <c r="D1323" s="101"/>
      <c r="E1323" s="101"/>
      <c r="F1323" s="101"/>
      <c r="G1323" s="101"/>
      <c r="H1323" s="101"/>
      <c r="I1323" s="101"/>
      <c r="J1323" s="101"/>
      <c r="S1323" s="101"/>
      <c r="T1323" s="241"/>
      <c r="U1323" s="241"/>
      <c r="V1323" s="241"/>
      <c r="W1323" s="241"/>
      <c r="X1323" s="241"/>
      <c r="Y1323" s="241"/>
      <c r="Z1323" s="241"/>
    </row>
    <row r="1324" spans="3:26" ht="16.5">
      <c r="C1324" s="101"/>
      <c r="D1324" s="101"/>
      <c r="E1324" s="101"/>
      <c r="F1324" s="101"/>
      <c r="G1324" s="101"/>
      <c r="H1324" s="101"/>
      <c r="I1324" s="101"/>
      <c r="J1324" s="101"/>
      <c r="S1324" s="101"/>
      <c r="T1324" s="241"/>
      <c r="U1324" s="241"/>
      <c r="V1324" s="241"/>
      <c r="W1324" s="241"/>
      <c r="X1324" s="241"/>
      <c r="Y1324" s="241"/>
      <c r="Z1324" s="241"/>
    </row>
    <row r="1325" spans="3:26" ht="16.5">
      <c r="C1325" s="101"/>
      <c r="D1325" s="101"/>
      <c r="E1325" s="101"/>
      <c r="F1325" s="101"/>
      <c r="G1325" s="101"/>
      <c r="H1325" s="101"/>
      <c r="I1325" s="101"/>
      <c r="J1325" s="101"/>
      <c r="S1325" s="101"/>
      <c r="T1325" s="241"/>
      <c r="U1325" s="241"/>
      <c r="V1325" s="241"/>
      <c r="W1325" s="241"/>
      <c r="X1325" s="241"/>
      <c r="Y1325" s="241"/>
      <c r="Z1325" s="241"/>
    </row>
    <row r="1326" spans="3:26" ht="16.5">
      <c r="C1326" s="101"/>
      <c r="D1326" s="101"/>
      <c r="E1326" s="101"/>
      <c r="F1326" s="101"/>
      <c r="G1326" s="101"/>
      <c r="H1326" s="101"/>
      <c r="I1326" s="101"/>
      <c r="J1326" s="101"/>
      <c r="S1326" s="101"/>
      <c r="T1326" s="241"/>
      <c r="U1326" s="241"/>
      <c r="V1326" s="241"/>
      <c r="W1326" s="241"/>
      <c r="X1326" s="241"/>
      <c r="Y1326" s="241"/>
      <c r="Z1326" s="241"/>
    </row>
    <row r="1327" spans="3:26" ht="16.5">
      <c r="C1327" s="101"/>
      <c r="D1327" s="101"/>
      <c r="E1327" s="101"/>
      <c r="F1327" s="101"/>
      <c r="G1327" s="101"/>
      <c r="H1327" s="101"/>
      <c r="I1327" s="101"/>
      <c r="J1327" s="101"/>
      <c r="S1327" s="101"/>
      <c r="T1327" s="241"/>
      <c r="U1327" s="241"/>
      <c r="V1327" s="241"/>
      <c r="W1327" s="241"/>
      <c r="X1327" s="241"/>
      <c r="Y1327" s="241"/>
      <c r="Z1327" s="241"/>
    </row>
    <row r="1328" spans="3:26" ht="16.5">
      <c r="C1328" s="101"/>
      <c r="D1328" s="101"/>
      <c r="E1328" s="101"/>
      <c r="F1328" s="101"/>
      <c r="G1328" s="101"/>
      <c r="H1328" s="101"/>
      <c r="I1328" s="101"/>
      <c r="J1328" s="101"/>
      <c r="S1328" s="101"/>
      <c r="T1328" s="241"/>
      <c r="U1328" s="241"/>
      <c r="V1328" s="241"/>
      <c r="W1328" s="241"/>
      <c r="X1328" s="241"/>
      <c r="Y1328" s="241"/>
      <c r="Z1328" s="241"/>
    </row>
    <row r="1329" spans="3:26" ht="16.5">
      <c r="C1329" s="101"/>
      <c r="D1329" s="101"/>
      <c r="E1329" s="101"/>
      <c r="F1329" s="101"/>
      <c r="G1329" s="101"/>
      <c r="H1329" s="101"/>
      <c r="I1329" s="101"/>
      <c r="J1329" s="101"/>
      <c r="S1329" s="101"/>
      <c r="T1329" s="241"/>
      <c r="U1329" s="241"/>
      <c r="V1329" s="241"/>
      <c r="W1329" s="241"/>
      <c r="X1329" s="241"/>
      <c r="Y1329" s="241"/>
      <c r="Z1329" s="241"/>
    </row>
    <row r="1330" spans="3:26" ht="16.5">
      <c r="C1330" s="101"/>
      <c r="D1330" s="101"/>
      <c r="E1330" s="101"/>
      <c r="F1330" s="101"/>
      <c r="G1330" s="101"/>
      <c r="H1330" s="101"/>
      <c r="I1330" s="101"/>
      <c r="J1330" s="101"/>
      <c r="S1330" s="101"/>
      <c r="T1330" s="241"/>
      <c r="U1330" s="241"/>
      <c r="V1330" s="241"/>
      <c r="W1330" s="241"/>
      <c r="X1330" s="241"/>
      <c r="Y1330" s="241"/>
      <c r="Z1330" s="241"/>
    </row>
    <row r="1331" spans="3:26" ht="16.5">
      <c r="C1331" s="101"/>
      <c r="D1331" s="101"/>
      <c r="E1331" s="101"/>
      <c r="F1331" s="101"/>
      <c r="G1331" s="101"/>
      <c r="H1331" s="101"/>
      <c r="I1331" s="101"/>
      <c r="J1331" s="101"/>
      <c r="S1331" s="101"/>
      <c r="T1331" s="241"/>
      <c r="U1331" s="241"/>
      <c r="V1331" s="241"/>
      <c r="W1331" s="241"/>
      <c r="X1331" s="241"/>
      <c r="Y1331" s="241"/>
      <c r="Z1331" s="241"/>
    </row>
    <row r="1332" spans="3:26" ht="16.5">
      <c r="C1332" s="101"/>
      <c r="D1332" s="101"/>
      <c r="E1332" s="101"/>
      <c r="F1332" s="101"/>
      <c r="G1332" s="101"/>
      <c r="H1332" s="101"/>
      <c r="I1332" s="101"/>
      <c r="J1332" s="101"/>
      <c r="S1332" s="101"/>
      <c r="T1332" s="241"/>
      <c r="U1332" s="241"/>
      <c r="V1332" s="241"/>
      <c r="W1332" s="241"/>
      <c r="X1332" s="241"/>
      <c r="Y1332" s="241"/>
      <c r="Z1332" s="241"/>
    </row>
    <row r="1333" spans="3:26" ht="16.5">
      <c r="C1333" s="101"/>
      <c r="D1333" s="101"/>
      <c r="E1333" s="101"/>
      <c r="F1333" s="101"/>
      <c r="G1333" s="101"/>
      <c r="H1333" s="101"/>
      <c r="I1333" s="101"/>
      <c r="J1333" s="101"/>
      <c r="S1333" s="101"/>
      <c r="T1333" s="241"/>
      <c r="U1333" s="241"/>
      <c r="V1333" s="241"/>
      <c r="W1333" s="241"/>
      <c r="X1333" s="241"/>
      <c r="Y1333" s="241"/>
      <c r="Z1333" s="241"/>
    </row>
    <row r="1334" spans="3:26" ht="16.5">
      <c r="C1334" s="101"/>
      <c r="D1334" s="101"/>
      <c r="E1334" s="101"/>
      <c r="F1334" s="101"/>
      <c r="G1334" s="101"/>
      <c r="H1334" s="101"/>
      <c r="I1334" s="101"/>
      <c r="J1334" s="101"/>
      <c r="S1334" s="101"/>
      <c r="T1334" s="241"/>
      <c r="U1334" s="241"/>
      <c r="V1334" s="241"/>
      <c r="W1334" s="241"/>
      <c r="X1334" s="241"/>
      <c r="Y1334" s="241"/>
      <c r="Z1334" s="241"/>
    </row>
    <row r="1335" spans="3:26" ht="16.5">
      <c r="C1335" s="101"/>
      <c r="D1335" s="101"/>
      <c r="E1335" s="101"/>
      <c r="F1335" s="101"/>
      <c r="G1335" s="101"/>
      <c r="H1335" s="101"/>
      <c r="I1335" s="101"/>
      <c r="J1335" s="101"/>
      <c r="S1335" s="101"/>
      <c r="T1335" s="241"/>
      <c r="U1335" s="241"/>
      <c r="V1335" s="241"/>
      <c r="W1335" s="241"/>
      <c r="X1335" s="241"/>
      <c r="Y1335" s="241"/>
      <c r="Z1335" s="241"/>
    </row>
    <row r="1336" spans="3:26" ht="16.5">
      <c r="C1336" s="101"/>
      <c r="D1336" s="101"/>
      <c r="E1336" s="101"/>
      <c r="F1336" s="101"/>
      <c r="G1336" s="101"/>
      <c r="H1336" s="101"/>
      <c r="I1336" s="101"/>
      <c r="J1336" s="101"/>
      <c r="S1336" s="101"/>
      <c r="T1336" s="241"/>
      <c r="U1336" s="241"/>
      <c r="V1336" s="241"/>
      <c r="W1336" s="241"/>
      <c r="X1336" s="241"/>
      <c r="Y1336" s="241"/>
      <c r="Z1336" s="241"/>
    </row>
    <row r="1337" spans="3:26" ht="16.5">
      <c r="C1337" s="101"/>
      <c r="D1337" s="101"/>
      <c r="E1337" s="101"/>
      <c r="F1337" s="101"/>
      <c r="G1337" s="101"/>
      <c r="H1337" s="101"/>
      <c r="I1337" s="101"/>
      <c r="J1337" s="101"/>
      <c r="S1337" s="101"/>
      <c r="T1337" s="241"/>
      <c r="U1337" s="241"/>
      <c r="V1337" s="241"/>
      <c r="W1337" s="241"/>
      <c r="X1337" s="241"/>
      <c r="Y1337" s="241"/>
      <c r="Z1337" s="241"/>
    </row>
    <row r="1338" spans="3:26" ht="16.5">
      <c r="C1338" s="101"/>
      <c r="D1338" s="101"/>
      <c r="E1338" s="101"/>
      <c r="F1338" s="101"/>
      <c r="G1338" s="101"/>
      <c r="H1338" s="101"/>
      <c r="I1338" s="101"/>
      <c r="J1338" s="101"/>
      <c r="S1338" s="101"/>
      <c r="T1338" s="241"/>
      <c r="U1338" s="241"/>
      <c r="V1338" s="241"/>
      <c r="W1338" s="241"/>
      <c r="X1338" s="241"/>
      <c r="Y1338" s="241"/>
      <c r="Z1338" s="241"/>
    </row>
    <row r="1339" spans="3:26" ht="16.5">
      <c r="C1339" s="101"/>
      <c r="D1339" s="101"/>
      <c r="E1339" s="101"/>
      <c r="F1339" s="101"/>
      <c r="G1339" s="101"/>
      <c r="H1339" s="101"/>
      <c r="I1339" s="101"/>
      <c r="J1339" s="101"/>
      <c r="S1339" s="101"/>
      <c r="T1339" s="241"/>
      <c r="U1339" s="241"/>
      <c r="V1339" s="241"/>
      <c r="W1339" s="241"/>
      <c r="X1339" s="241"/>
      <c r="Y1339" s="241"/>
      <c r="Z1339" s="241"/>
    </row>
    <row r="1340" spans="3:26" ht="16.5">
      <c r="C1340" s="101"/>
      <c r="D1340" s="101"/>
      <c r="E1340" s="101"/>
      <c r="F1340" s="101"/>
      <c r="G1340" s="101"/>
      <c r="H1340" s="101"/>
      <c r="I1340" s="101"/>
      <c r="J1340" s="101"/>
      <c r="S1340" s="101"/>
      <c r="T1340" s="241"/>
      <c r="U1340" s="241"/>
      <c r="V1340" s="241"/>
      <c r="W1340" s="241"/>
      <c r="X1340" s="241"/>
      <c r="Y1340" s="241"/>
      <c r="Z1340" s="241"/>
    </row>
    <row r="1341" spans="3:26" ht="16.5">
      <c r="C1341" s="101"/>
      <c r="D1341" s="101"/>
      <c r="E1341" s="101"/>
      <c r="F1341" s="101"/>
      <c r="G1341" s="101"/>
      <c r="H1341" s="101"/>
      <c r="I1341" s="101"/>
      <c r="J1341" s="101"/>
      <c r="S1341" s="101"/>
      <c r="T1341" s="241"/>
      <c r="U1341" s="241"/>
      <c r="V1341" s="241"/>
      <c r="W1341" s="241"/>
      <c r="X1341" s="241"/>
      <c r="Y1341" s="241"/>
      <c r="Z1341" s="241"/>
    </row>
    <row r="1342" spans="3:26" ht="16.5">
      <c r="C1342" s="101"/>
      <c r="D1342" s="101"/>
      <c r="E1342" s="101"/>
      <c r="F1342" s="101"/>
      <c r="G1342" s="101"/>
      <c r="H1342" s="101"/>
      <c r="I1342" s="101"/>
      <c r="J1342" s="101"/>
      <c r="S1342" s="101"/>
      <c r="T1342" s="241"/>
      <c r="U1342" s="241"/>
      <c r="V1342" s="241"/>
      <c r="W1342" s="241"/>
      <c r="X1342" s="241"/>
      <c r="Y1342" s="241"/>
      <c r="Z1342" s="241"/>
    </row>
    <row r="1343" spans="3:26" ht="16.5">
      <c r="C1343" s="101"/>
      <c r="D1343" s="101"/>
      <c r="E1343" s="101"/>
      <c r="F1343" s="101"/>
      <c r="G1343" s="101"/>
      <c r="H1343" s="101"/>
      <c r="I1343" s="101"/>
      <c r="J1343" s="101"/>
      <c r="S1343" s="101"/>
      <c r="T1343" s="241"/>
      <c r="U1343" s="241"/>
      <c r="V1343" s="241"/>
      <c r="W1343" s="241"/>
      <c r="X1343" s="241"/>
      <c r="Y1343" s="241"/>
      <c r="Z1343" s="241"/>
    </row>
    <row r="1344" spans="3:26" ht="16.5">
      <c r="C1344" s="101"/>
      <c r="D1344" s="101"/>
      <c r="E1344" s="101"/>
      <c r="F1344" s="101"/>
      <c r="G1344" s="101"/>
      <c r="H1344" s="101"/>
      <c r="I1344" s="101"/>
      <c r="J1344" s="101"/>
      <c r="S1344" s="101"/>
      <c r="T1344" s="241"/>
      <c r="U1344" s="241"/>
      <c r="V1344" s="241"/>
      <c r="W1344" s="241"/>
      <c r="X1344" s="241"/>
      <c r="Y1344" s="241"/>
      <c r="Z1344" s="241"/>
    </row>
    <row r="1345" spans="3:26" ht="16.5">
      <c r="C1345" s="101"/>
      <c r="D1345" s="101"/>
      <c r="E1345" s="101"/>
      <c r="F1345" s="101"/>
      <c r="G1345" s="101"/>
      <c r="H1345" s="101"/>
      <c r="I1345" s="101"/>
      <c r="J1345" s="101"/>
      <c r="S1345" s="101"/>
      <c r="T1345" s="241"/>
      <c r="U1345" s="241"/>
      <c r="V1345" s="241"/>
      <c r="W1345" s="241"/>
      <c r="X1345" s="241"/>
      <c r="Y1345" s="241"/>
      <c r="Z1345" s="241"/>
    </row>
    <row r="1346" spans="3:26" ht="16.5">
      <c r="C1346" s="101"/>
      <c r="D1346" s="101"/>
      <c r="E1346" s="101"/>
      <c r="F1346" s="101"/>
      <c r="G1346" s="101"/>
      <c r="H1346" s="101"/>
      <c r="I1346" s="101"/>
      <c r="J1346" s="101"/>
      <c r="S1346" s="101"/>
      <c r="T1346" s="241"/>
      <c r="U1346" s="241"/>
      <c r="V1346" s="241"/>
      <c r="W1346" s="241"/>
      <c r="X1346" s="241"/>
      <c r="Y1346" s="241"/>
      <c r="Z1346" s="241"/>
    </row>
    <row r="1347" spans="3:26" ht="16.5">
      <c r="C1347" s="101"/>
      <c r="D1347" s="101"/>
      <c r="E1347" s="101"/>
      <c r="F1347" s="101"/>
      <c r="G1347" s="101"/>
      <c r="H1347" s="101"/>
      <c r="I1347" s="101"/>
      <c r="J1347" s="101"/>
      <c r="S1347" s="101"/>
      <c r="T1347" s="241"/>
      <c r="U1347" s="241"/>
      <c r="V1347" s="241"/>
      <c r="W1347" s="241"/>
      <c r="X1347" s="241"/>
      <c r="Y1347" s="241"/>
      <c r="Z1347" s="241"/>
    </row>
    <row r="1348" spans="3:26" ht="16.5">
      <c r="C1348" s="101"/>
      <c r="D1348" s="101"/>
      <c r="E1348" s="101"/>
      <c r="F1348" s="101"/>
      <c r="G1348" s="101"/>
      <c r="H1348" s="101"/>
      <c r="I1348" s="101"/>
      <c r="J1348" s="101"/>
      <c r="S1348" s="101"/>
      <c r="T1348" s="241"/>
      <c r="U1348" s="241"/>
      <c r="V1348" s="241"/>
      <c r="W1348" s="241"/>
      <c r="X1348" s="241"/>
      <c r="Y1348" s="241"/>
      <c r="Z1348" s="241"/>
    </row>
    <row r="1349" spans="3:26" ht="16.5">
      <c r="C1349" s="101"/>
      <c r="D1349" s="101"/>
      <c r="E1349" s="101"/>
      <c r="F1349" s="101"/>
      <c r="G1349" s="101"/>
      <c r="H1349" s="101"/>
      <c r="I1349" s="101"/>
      <c r="J1349" s="101"/>
      <c r="S1349" s="101"/>
      <c r="T1349" s="241"/>
      <c r="U1349" s="241"/>
      <c r="V1349" s="241"/>
      <c r="W1349" s="241"/>
      <c r="X1349" s="241"/>
      <c r="Y1349" s="241"/>
      <c r="Z1349" s="241"/>
    </row>
    <row r="1350" spans="3:26" ht="16.5">
      <c r="C1350" s="101"/>
      <c r="D1350" s="101"/>
      <c r="E1350" s="101"/>
      <c r="F1350" s="101"/>
      <c r="G1350" s="101"/>
      <c r="H1350" s="101"/>
      <c r="I1350" s="101"/>
      <c r="J1350" s="101"/>
      <c r="S1350" s="101"/>
      <c r="T1350" s="241"/>
      <c r="U1350" s="241"/>
      <c r="V1350" s="241"/>
      <c r="W1350" s="241"/>
      <c r="X1350" s="241"/>
      <c r="Y1350" s="241"/>
      <c r="Z1350" s="241"/>
    </row>
    <row r="1351" spans="3:26" ht="16.5">
      <c r="C1351" s="101"/>
      <c r="D1351" s="101"/>
      <c r="E1351" s="101"/>
      <c r="F1351" s="101"/>
      <c r="G1351" s="101"/>
      <c r="H1351" s="101"/>
      <c r="I1351" s="101"/>
      <c r="J1351" s="101"/>
      <c r="S1351" s="101"/>
      <c r="T1351" s="241"/>
      <c r="U1351" s="241"/>
      <c r="V1351" s="241"/>
      <c r="W1351" s="241"/>
      <c r="X1351" s="241"/>
      <c r="Y1351" s="241"/>
      <c r="Z1351" s="241"/>
    </row>
    <row r="1352" spans="3:26" ht="16.5">
      <c r="C1352" s="101"/>
      <c r="D1352" s="101"/>
      <c r="E1352" s="101"/>
      <c r="F1352" s="101"/>
      <c r="G1352" s="101"/>
      <c r="H1352" s="101"/>
      <c r="I1352" s="101"/>
      <c r="J1352" s="101"/>
      <c r="S1352" s="101"/>
      <c r="T1352" s="241"/>
      <c r="U1352" s="241"/>
      <c r="V1352" s="241"/>
      <c r="W1352" s="241"/>
      <c r="X1352" s="241"/>
      <c r="Y1352" s="241"/>
      <c r="Z1352" s="241"/>
    </row>
    <row r="1353" spans="3:26" ht="16.5">
      <c r="C1353" s="101"/>
      <c r="D1353" s="101"/>
      <c r="E1353" s="101"/>
      <c r="F1353" s="101"/>
      <c r="G1353" s="101"/>
      <c r="H1353" s="101"/>
      <c r="I1353" s="101"/>
      <c r="J1353" s="101"/>
      <c r="S1353" s="101"/>
      <c r="T1353" s="241"/>
      <c r="U1353" s="241"/>
      <c r="V1353" s="241"/>
      <c r="W1353" s="241"/>
      <c r="X1353" s="241"/>
      <c r="Y1353" s="241"/>
      <c r="Z1353" s="241"/>
    </row>
    <row r="1354" spans="3:26" ht="16.5">
      <c r="C1354" s="101"/>
      <c r="D1354" s="101"/>
      <c r="E1354" s="101"/>
      <c r="F1354" s="101"/>
      <c r="G1354" s="101"/>
      <c r="H1354" s="101"/>
      <c r="I1354" s="101"/>
      <c r="J1354" s="101"/>
      <c r="S1354" s="101"/>
      <c r="T1354" s="241"/>
      <c r="U1354" s="241"/>
      <c r="V1354" s="241"/>
      <c r="W1354" s="241"/>
      <c r="X1354" s="241"/>
      <c r="Y1354" s="241"/>
      <c r="Z1354" s="241"/>
    </row>
    <row r="1355" spans="3:26" ht="16.5">
      <c r="C1355" s="101"/>
      <c r="D1355" s="101"/>
      <c r="E1355" s="101"/>
      <c r="F1355" s="101"/>
      <c r="G1355" s="101"/>
      <c r="H1355" s="101"/>
      <c r="I1355" s="101"/>
      <c r="J1355" s="101"/>
      <c r="S1355" s="101"/>
      <c r="T1355" s="241"/>
      <c r="U1355" s="241"/>
      <c r="V1355" s="241"/>
      <c r="W1355" s="241"/>
      <c r="X1355" s="241"/>
      <c r="Y1355" s="241"/>
      <c r="Z1355" s="241"/>
    </row>
    <row r="1356" spans="3:26" ht="16.5">
      <c r="C1356" s="101"/>
      <c r="D1356" s="101"/>
      <c r="E1356" s="101"/>
      <c r="F1356" s="101"/>
      <c r="G1356" s="101"/>
      <c r="H1356" s="101"/>
      <c r="I1356" s="101"/>
      <c r="J1356" s="101"/>
      <c r="S1356" s="101"/>
      <c r="T1356" s="241"/>
      <c r="U1356" s="241"/>
      <c r="V1356" s="241"/>
      <c r="W1356" s="241"/>
      <c r="X1356" s="241"/>
      <c r="Y1356" s="241"/>
      <c r="Z1356" s="241"/>
    </row>
    <row r="1357" spans="3:26" ht="16.5">
      <c r="C1357" s="101"/>
      <c r="D1357" s="101"/>
      <c r="E1357" s="101"/>
      <c r="F1357" s="101"/>
      <c r="G1357" s="101"/>
      <c r="H1357" s="101"/>
      <c r="I1357" s="101"/>
      <c r="J1357" s="101"/>
      <c r="S1357" s="101"/>
      <c r="T1357" s="241"/>
      <c r="U1357" s="241"/>
      <c r="V1357" s="241"/>
      <c r="W1357" s="241"/>
      <c r="X1357" s="241"/>
      <c r="Y1357" s="241"/>
      <c r="Z1357" s="241"/>
    </row>
    <row r="1358" spans="3:26" ht="16.5">
      <c r="C1358" s="101"/>
      <c r="D1358" s="101"/>
      <c r="E1358" s="101"/>
      <c r="F1358" s="101"/>
      <c r="G1358" s="101"/>
      <c r="H1358" s="101"/>
      <c r="I1358" s="101"/>
      <c r="J1358" s="101"/>
      <c r="S1358" s="101"/>
      <c r="T1358" s="241"/>
      <c r="U1358" s="241"/>
      <c r="V1358" s="241"/>
      <c r="W1358" s="241"/>
      <c r="X1358" s="241"/>
      <c r="Y1358" s="241"/>
      <c r="Z1358" s="241"/>
    </row>
    <row r="1359" spans="3:26" ht="16.5">
      <c r="C1359" s="101"/>
      <c r="D1359" s="101"/>
      <c r="E1359" s="101"/>
      <c r="F1359" s="101"/>
      <c r="G1359" s="101"/>
      <c r="H1359" s="101"/>
      <c r="I1359" s="101"/>
      <c r="J1359" s="101"/>
      <c r="S1359" s="101"/>
      <c r="T1359" s="241"/>
      <c r="U1359" s="241"/>
      <c r="V1359" s="241"/>
      <c r="W1359" s="241"/>
      <c r="X1359" s="241"/>
      <c r="Y1359" s="241"/>
      <c r="Z1359" s="241"/>
    </row>
    <row r="1360" spans="3:26" ht="16.5">
      <c r="C1360" s="101"/>
      <c r="D1360" s="101"/>
      <c r="E1360" s="101"/>
      <c r="F1360" s="101"/>
      <c r="G1360" s="101"/>
      <c r="H1360" s="101"/>
      <c r="I1360" s="101"/>
      <c r="J1360" s="101"/>
      <c r="S1360" s="101"/>
      <c r="T1360" s="241"/>
      <c r="U1360" s="241"/>
      <c r="V1360" s="241"/>
      <c r="W1360" s="241"/>
      <c r="X1360" s="241"/>
      <c r="Y1360" s="241"/>
      <c r="Z1360" s="241"/>
    </row>
    <row r="1361" spans="3:26" ht="16.5">
      <c r="C1361" s="101"/>
      <c r="D1361" s="101"/>
      <c r="E1361" s="101"/>
      <c r="F1361" s="101"/>
      <c r="G1361" s="101"/>
      <c r="H1361" s="101"/>
      <c r="I1361" s="101"/>
      <c r="J1361" s="101"/>
      <c r="S1361" s="101"/>
      <c r="T1361" s="241"/>
      <c r="U1361" s="241"/>
      <c r="V1361" s="241"/>
      <c r="W1361" s="241"/>
      <c r="X1361" s="241"/>
      <c r="Y1361" s="241"/>
      <c r="Z1361" s="241"/>
    </row>
    <row r="1362" spans="3:26" ht="16.5">
      <c r="C1362" s="101"/>
      <c r="D1362" s="101"/>
      <c r="E1362" s="101"/>
      <c r="F1362" s="101"/>
      <c r="G1362" s="101"/>
      <c r="H1362" s="101"/>
      <c r="I1362" s="101"/>
      <c r="J1362" s="101"/>
      <c r="S1362" s="101"/>
      <c r="T1362" s="241"/>
      <c r="U1362" s="241"/>
      <c r="V1362" s="241"/>
      <c r="W1362" s="241"/>
      <c r="X1362" s="241"/>
      <c r="Y1362" s="241"/>
      <c r="Z1362" s="241"/>
    </row>
    <row r="1363" spans="3:26" ht="16.5">
      <c r="C1363" s="101"/>
      <c r="D1363" s="101"/>
      <c r="E1363" s="101"/>
      <c r="F1363" s="101"/>
      <c r="G1363" s="101"/>
      <c r="H1363" s="101"/>
      <c r="I1363" s="101"/>
      <c r="J1363" s="101"/>
      <c r="S1363" s="101"/>
      <c r="T1363" s="241"/>
      <c r="U1363" s="241"/>
      <c r="V1363" s="241"/>
      <c r="W1363" s="241"/>
      <c r="X1363" s="241"/>
      <c r="Y1363" s="241"/>
      <c r="Z1363" s="241"/>
    </row>
    <row r="1364" spans="3:26" ht="16.5">
      <c r="C1364" s="101"/>
      <c r="D1364" s="101"/>
      <c r="E1364" s="101"/>
      <c r="F1364" s="101"/>
      <c r="G1364" s="101"/>
      <c r="H1364" s="101"/>
      <c r="I1364" s="101"/>
      <c r="J1364" s="101"/>
      <c r="S1364" s="101"/>
      <c r="T1364" s="241"/>
      <c r="U1364" s="241"/>
      <c r="V1364" s="241"/>
      <c r="W1364" s="241"/>
      <c r="X1364" s="241"/>
      <c r="Y1364" s="241"/>
      <c r="Z1364" s="241"/>
    </row>
    <row r="1365" spans="3:26" ht="16.5">
      <c r="C1365" s="101"/>
      <c r="D1365" s="101"/>
      <c r="E1365" s="101"/>
      <c r="F1365" s="101"/>
      <c r="G1365" s="101"/>
      <c r="H1365" s="101"/>
      <c r="I1365" s="101"/>
      <c r="J1365" s="101"/>
      <c r="S1365" s="101"/>
      <c r="T1365" s="241"/>
      <c r="U1365" s="241"/>
      <c r="V1365" s="241"/>
      <c r="W1365" s="241"/>
      <c r="X1365" s="241"/>
      <c r="Y1365" s="241"/>
      <c r="Z1365" s="241"/>
    </row>
    <row r="1366" spans="3:26" ht="16.5">
      <c r="C1366" s="101"/>
      <c r="D1366" s="101"/>
      <c r="E1366" s="101"/>
      <c r="F1366" s="101"/>
      <c r="G1366" s="101"/>
      <c r="H1366" s="101"/>
      <c r="I1366" s="101"/>
      <c r="J1366" s="101"/>
      <c r="S1366" s="101"/>
      <c r="T1366" s="241"/>
      <c r="U1366" s="241"/>
      <c r="V1366" s="241"/>
      <c r="W1366" s="241"/>
      <c r="X1366" s="241"/>
      <c r="Y1366" s="241"/>
      <c r="Z1366" s="241"/>
    </row>
    <row r="1367" spans="3:26" ht="16.5">
      <c r="C1367" s="101"/>
      <c r="D1367" s="101"/>
      <c r="E1367" s="101"/>
      <c r="F1367" s="101"/>
      <c r="G1367" s="101"/>
      <c r="H1367" s="101"/>
      <c r="I1367" s="101"/>
      <c r="J1367" s="101"/>
      <c r="S1367" s="101"/>
      <c r="T1367" s="241"/>
      <c r="U1367" s="241"/>
      <c r="V1367" s="241"/>
      <c r="W1367" s="241"/>
      <c r="X1367" s="241"/>
      <c r="Y1367" s="241"/>
      <c r="Z1367" s="241"/>
    </row>
    <row r="1368" spans="3:26" ht="16.5">
      <c r="C1368" s="101"/>
      <c r="D1368" s="101"/>
      <c r="E1368" s="101"/>
      <c r="F1368" s="101"/>
      <c r="G1368" s="101"/>
      <c r="H1368" s="101"/>
      <c r="I1368" s="101"/>
      <c r="J1368" s="101"/>
      <c r="S1368" s="101"/>
      <c r="T1368" s="241"/>
      <c r="U1368" s="241"/>
      <c r="V1368" s="241"/>
      <c r="W1368" s="241"/>
      <c r="X1368" s="241"/>
      <c r="Y1368" s="241"/>
      <c r="Z1368" s="241"/>
    </row>
    <row r="1369" spans="3:26" ht="16.5">
      <c r="C1369" s="101"/>
      <c r="D1369" s="101"/>
      <c r="E1369" s="101"/>
      <c r="F1369" s="101"/>
      <c r="G1369" s="101"/>
      <c r="H1369" s="101"/>
      <c r="I1369" s="101"/>
      <c r="J1369" s="101"/>
      <c r="S1369" s="101"/>
      <c r="T1369" s="241"/>
      <c r="U1369" s="241"/>
      <c r="V1369" s="241"/>
      <c r="W1369" s="241"/>
      <c r="X1369" s="241"/>
      <c r="Y1369" s="241"/>
      <c r="Z1369" s="241"/>
    </row>
    <row r="1370" spans="3:26" ht="16.5">
      <c r="C1370" s="101"/>
      <c r="D1370" s="101"/>
      <c r="E1370" s="101"/>
      <c r="F1370" s="101"/>
      <c r="G1370" s="101"/>
      <c r="H1370" s="101"/>
      <c r="I1370" s="101"/>
      <c r="J1370" s="101"/>
      <c r="S1370" s="101"/>
      <c r="T1370" s="241"/>
      <c r="U1370" s="241"/>
      <c r="V1370" s="241"/>
      <c r="W1370" s="241"/>
      <c r="X1370" s="241"/>
      <c r="Y1370" s="241"/>
      <c r="Z1370" s="241"/>
    </row>
    <row r="1371" spans="3:26" ht="16.5">
      <c r="C1371" s="101"/>
      <c r="D1371" s="101"/>
      <c r="E1371" s="101"/>
      <c r="F1371" s="101"/>
      <c r="G1371" s="101"/>
      <c r="H1371" s="101"/>
      <c r="I1371" s="101"/>
      <c r="J1371" s="101"/>
      <c r="S1371" s="101"/>
      <c r="T1371" s="241"/>
      <c r="U1371" s="241"/>
      <c r="V1371" s="241"/>
      <c r="W1371" s="241"/>
      <c r="X1371" s="241"/>
      <c r="Y1371" s="241"/>
      <c r="Z1371" s="241"/>
    </row>
    <row r="1372" spans="3:26" ht="16.5">
      <c r="C1372" s="101"/>
      <c r="D1372" s="101"/>
      <c r="E1372" s="101"/>
      <c r="F1372" s="101"/>
      <c r="G1372" s="101"/>
      <c r="H1372" s="101"/>
      <c r="I1372" s="101"/>
      <c r="J1372" s="101"/>
      <c r="S1372" s="101"/>
      <c r="T1372" s="241"/>
      <c r="U1372" s="241"/>
      <c r="V1372" s="241"/>
      <c r="W1372" s="241"/>
      <c r="X1372" s="241"/>
      <c r="Y1372" s="241"/>
      <c r="Z1372" s="241"/>
    </row>
    <row r="1373" spans="3:26" ht="16.5">
      <c r="C1373" s="101"/>
      <c r="D1373" s="101"/>
      <c r="E1373" s="101"/>
      <c r="F1373" s="101"/>
      <c r="G1373" s="101"/>
      <c r="H1373" s="101"/>
      <c r="I1373" s="101"/>
      <c r="J1373" s="101"/>
      <c r="S1373" s="101"/>
      <c r="T1373" s="241"/>
      <c r="U1373" s="241"/>
      <c r="V1373" s="241"/>
      <c r="W1373" s="241"/>
      <c r="X1373" s="241"/>
      <c r="Y1373" s="241"/>
      <c r="Z1373" s="241"/>
    </row>
    <row r="1374" spans="3:26" ht="16.5">
      <c r="C1374" s="101"/>
      <c r="D1374" s="101"/>
      <c r="E1374" s="101"/>
      <c r="F1374" s="101"/>
      <c r="G1374" s="101"/>
      <c r="H1374" s="101"/>
      <c r="I1374" s="101"/>
      <c r="J1374" s="101"/>
      <c r="S1374" s="101"/>
      <c r="T1374" s="241"/>
      <c r="U1374" s="241"/>
      <c r="V1374" s="241"/>
      <c r="W1374" s="241"/>
      <c r="X1374" s="241"/>
      <c r="Y1374" s="241"/>
      <c r="Z1374" s="241"/>
    </row>
    <row r="1375" spans="3:26" ht="16.5">
      <c r="C1375" s="101"/>
      <c r="D1375" s="101"/>
      <c r="E1375" s="101"/>
      <c r="F1375" s="101"/>
      <c r="G1375" s="101"/>
      <c r="H1375" s="101"/>
      <c r="I1375" s="101"/>
      <c r="J1375" s="101"/>
      <c r="S1375" s="101"/>
      <c r="T1375" s="241"/>
      <c r="U1375" s="241"/>
      <c r="V1375" s="241"/>
      <c r="W1375" s="241"/>
      <c r="X1375" s="241"/>
      <c r="Y1375" s="241"/>
      <c r="Z1375" s="241"/>
    </row>
    <row r="1376" spans="3:26" ht="16.5">
      <c r="C1376" s="101"/>
      <c r="D1376" s="101"/>
      <c r="E1376" s="101"/>
      <c r="F1376" s="101"/>
      <c r="G1376" s="101"/>
      <c r="H1376" s="101"/>
      <c r="I1376" s="101"/>
      <c r="J1376" s="101"/>
      <c r="S1376" s="101"/>
      <c r="T1376" s="241"/>
      <c r="U1376" s="241"/>
      <c r="V1376" s="241"/>
      <c r="W1376" s="241"/>
      <c r="X1376" s="241"/>
      <c r="Y1376" s="241"/>
      <c r="Z1376" s="241"/>
    </row>
    <row r="1377" spans="3:26" ht="16.5">
      <c r="C1377" s="101"/>
      <c r="D1377" s="101"/>
      <c r="E1377" s="101"/>
      <c r="F1377" s="101"/>
      <c r="G1377" s="101"/>
      <c r="H1377" s="101"/>
      <c r="I1377" s="101"/>
      <c r="J1377" s="101"/>
      <c r="S1377" s="101"/>
      <c r="T1377" s="241"/>
      <c r="U1377" s="241"/>
      <c r="V1377" s="241"/>
      <c r="W1377" s="241"/>
      <c r="X1377" s="241"/>
      <c r="Y1377" s="241"/>
      <c r="Z1377" s="241"/>
    </row>
    <row r="1378" spans="3:26" ht="16.5">
      <c r="C1378" s="101"/>
      <c r="D1378" s="101"/>
      <c r="E1378" s="101"/>
      <c r="F1378" s="101"/>
      <c r="G1378" s="101"/>
      <c r="H1378" s="101"/>
      <c r="I1378" s="101"/>
      <c r="J1378" s="101"/>
      <c r="S1378" s="101"/>
      <c r="T1378" s="241"/>
      <c r="U1378" s="241"/>
      <c r="V1378" s="241"/>
      <c r="W1378" s="241"/>
      <c r="X1378" s="241"/>
      <c r="Y1378" s="241"/>
      <c r="Z1378" s="241"/>
    </row>
    <row r="1379" spans="3:26" ht="16.5">
      <c r="C1379" s="101"/>
      <c r="D1379" s="101"/>
      <c r="E1379" s="101"/>
      <c r="F1379" s="101"/>
      <c r="G1379" s="101"/>
      <c r="H1379" s="101"/>
      <c r="I1379" s="101"/>
      <c r="J1379" s="101"/>
      <c r="S1379" s="101"/>
      <c r="T1379" s="241"/>
      <c r="U1379" s="241"/>
      <c r="V1379" s="241"/>
      <c r="W1379" s="241"/>
      <c r="X1379" s="241"/>
      <c r="Y1379" s="241"/>
      <c r="Z1379" s="241"/>
    </row>
    <row r="1380" spans="3:26" ht="16.5">
      <c r="C1380" s="101"/>
      <c r="D1380" s="101"/>
      <c r="E1380" s="101"/>
      <c r="F1380" s="101"/>
      <c r="G1380" s="101"/>
      <c r="H1380" s="101"/>
      <c r="I1380" s="101"/>
      <c r="J1380" s="101"/>
      <c r="S1380" s="101"/>
      <c r="T1380" s="241"/>
      <c r="U1380" s="241"/>
      <c r="V1380" s="241"/>
      <c r="W1380" s="241"/>
      <c r="X1380" s="241"/>
      <c r="Y1380" s="241"/>
      <c r="Z1380" s="241"/>
    </row>
    <row r="1381" spans="3:26" ht="16.5">
      <c r="C1381" s="101"/>
      <c r="D1381" s="101"/>
      <c r="E1381" s="101"/>
      <c r="F1381" s="101"/>
      <c r="G1381" s="101"/>
      <c r="H1381" s="101"/>
      <c r="I1381" s="101"/>
      <c r="J1381" s="101"/>
      <c r="S1381" s="101"/>
      <c r="T1381" s="241"/>
      <c r="U1381" s="241"/>
      <c r="V1381" s="241"/>
      <c r="W1381" s="241"/>
      <c r="X1381" s="241"/>
      <c r="Y1381" s="241"/>
      <c r="Z1381" s="241"/>
    </row>
    <row r="1382" spans="3:26" ht="16.5">
      <c r="C1382" s="101"/>
      <c r="D1382" s="101"/>
      <c r="E1382" s="101"/>
      <c r="F1382" s="101"/>
      <c r="G1382" s="101"/>
      <c r="H1382" s="101"/>
      <c r="I1382" s="101"/>
      <c r="J1382" s="101"/>
      <c r="S1382" s="101"/>
      <c r="T1382" s="241"/>
      <c r="U1382" s="241"/>
      <c r="V1382" s="241"/>
      <c r="W1382" s="241"/>
      <c r="X1382" s="241"/>
      <c r="Y1382" s="241"/>
      <c r="Z1382" s="241"/>
    </row>
    <row r="1383" spans="3:26" ht="16.5">
      <c r="C1383" s="101"/>
      <c r="D1383" s="101"/>
      <c r="E1383" s="101"/>
      <c r="F1383" s="101"/>
      <c r="G1383" s="101"/>
      <c r="H1383" s="101"/>
      <c r="I1383" s="101"/>
      <c r="J1383" s="101"/>
      <c r="S1383" s="101"/>
      <c r="T1383" s="241"/>
      <c r="U1383" s="241"/>
      <c r="V1383" s="241"/>
      <c r="W1383" s="241"/>
      <c r="X1383" s="241"/>
      <c r="Y1383" s="241"/>
      <c r="Z1383" s="241"/>
    </row>
    <row r="1384" spans="3:26" ht="16.5">
      <c r="C1384" s="101"/>
      <c r="D1384" s="101"/>
      <c r="E1384" s="101"/>
      <c r="F1384" s="101"/>
      <c r="G1384" s="101"/>
      <c r="H1384" s="101"/>
      <c r="I1384" s="101"/>
      <c r="J1384" s="101"/>
      <c r="S1384" s="101"/>
      <c r="T1384" s="241"/>
      <c r="U1384" s="241"/>
      <c r="V1384" s="241"/>
      <c r="W1384" s="241"/>
      <c r="X1384" s="241"/>
      <c r="Y1384" s="241"/>
      <c r="Z1384" s="241"/>
    </row>
    <row r="1385" spans="3:26" ht="16.5">
      <c r="C1385" s="101"/>
      <c r="D1385" s="101"/>
      <c r="E1385" s="101"/>
      <c r="F1385" s="101"/>
      <c r="G1385" s="101"/>
      <c r="H1385" s="101"/>
      <c r="I1385" s="101"/>
      <c r="J1385" s="101"/>
      <c r="S1385" s="101"/>
      <c r="T1385" s="241"/>
      <c r="U1385" s="241"/>
      <c r="V1385" s="241"/>
      <c r="W1385" s="241"/>
      <c r="X1385" s="241"/>
      <c r="Y1385" s="241"/>
      <c r="Z1385" s="241"/>
    </row>
    <row r="1386" spans="3:26" ht="16.5">
      <c r="C1386" s="101"/>
      <c r="D1386" s="101"/>
      <c r="E1386" s="101"/>
      <c r="F1386" s="101"/>
      <c r="G1386" s="101"/>
      <c r="H1386" s="101"/>
      <c r="I1386" s="101"/>
      <c r="J1386" s="101"/>
      <c r="S1386" s="101"/>
      <c r="T1386" s="241"/>
      <c r="U1386" s="241"/>
      <c r="V1386" s="241"/>
      <c r="W1386" s="241"/>
      <c r="X1386" s="241"/>
      <c r="Y1386" s="241"/>
      <c r="Z1386" s="241"/>
    </row>
    <row r="1387" spans="3:26" ht="16.5">
      <c r="C1387" s="101"/>
      <c r="D1387" s="101"/>
      <c r="E1387" s="101"/>
      <c r="F1387" s="101"/>
      <c r="G1387" s="101"/>
      <c r="H1387" s="101"/>
      <c r="I1387" s="101"/>
      <c r="J1387" s="101"/>
      <c r="S1387" s="101"/>
      <c r="T1387" s="241"/>
      <c r="U1387" s="241"/>
      <c r="V1387" s="241"/>
      <c r="W1387" s="241"/>
      <c r="X1387" s="241"/>
      <c r="Y1387" s="241"/>
      <c r="Z1387" s="241"/>
    </row>
    <row r="1388" spans="3:26" ht="16.5">
      <c r="C1388" s="101"/>
      <c r="D1388" s="101"/>
      <c r="E1388" s="101"/>
      <c r="F1388" s="101"/>
      <c r="G1388" s="101"/>
      <c r="H1388" s="101"/>
      <c r="I1388" s="101"/>
      <c r="J1388" s="101"/>
      <c r="S1388" s="101"/>
      <c r="T1388" s="241"/>
      <c r="U1388" s="241"/>
      <c r="V1388" s="241"/>
      <c r="W1388" s="241"/>
      <c r="X1388" s="241"/>
      <c r="Y1388" s="241"/>
      <c r="Z1388" s="241"/>
    </row>
    <row r="1389" spans="3:26" ht="16.5">
      <c r="C1389" s="101"/>
      <c r="D1389" s="101"/>
      <c r="E1389" s="101"/>
      <c r="F1389" s="101"/>
      <c r="G1389" s="101"/>
      <c r="H1389" s="101"/>
      <c r="I1389" s="101"/>
      <c r="J1389" s="101"/>
      <c r="S1389" s="101"/>
      <c r="T1389" s="241"/>
      <c r="U1389" s="241"/>
      <c r="V1389" s="241"/>
      <c r="W1389" s="241"/>
      <c r="X1389" s="241"/>
      <c r="Y1389" s="241"/>
      <c r="Z1389" s="241"/>
    </row>
    <row r="1390" spans="3:26" ht="16.5">
      <c r="C1390" s="101"/>
      <c r="D1390" s="101"/>
      <c r="E1390" s="101"/>
      <c r="F1390" s="101"/>
      <c r="G1390" s="101"/>
      <c r="H1390" s="101"/>
      <c r="I1390" s="101"/>
      <c r="J1390" s="101"/>
      <c r="S1390" s="101"/>
      <c r="T1390" s="241"/>
      <c r="U1390" s="241"/>
      <c r="V1390" s="241"/>
      <c r="W1390" s="241"/>
      <c r="X1390" s="241"/>
      <c r="Y1390" s="241"/>
      <c r="Z1390" s="241"/>
    </row>
    <row r="1391" spans="3:26" ht="16.5">
      <c r="C1391" s="101"/>
      <c r="D1391" s="101"/>
      <c r="E1391" s="101"/>
      <c r="F1391" s="101"/>
      <c r="G1391" s="101"/>
      <c r="H1391" s="101"/>
      <c r="I1391" s="101"/>
      <c r="J1391" s="101"/>
      <c r="S1391" s="101"/>
      <c r="T1391" s="241"/>
      <c r="U1391" s="241"/>
      <c r="V1391" s="241"/>
      <c r="W1391" s="241"/>
      <c r="X1391" s="241"/>
      <c r="Y1391" s="241"/>
      <c r="Z1391" s="241"/>
    </row>
    <row r="1392" spans="3:26" ht="16.5">
      <c r="C1392" s="101"/>
      <c r="D1392" s="101"/>
      <c r="E1392" s="101"/>
      <c r="F1392" s="101"/>
      <c r="G1392" s="101"/>
      <c r="H1392" s="101"/>
      <c r="I1392" s="101"/>
      <c r="J1392" s="101"/>
      <c r="S1392" s="101"/>
      <c r="T1392" s="241"/>
      <c r="U1392" s="241"/>
      <c r="V1392" s="241"/>
      <c r="W1392" s="241"/>
      <c r="X1392" s="241"/>
      <c r="Y1392" s="241"/>
      <c r="Z1392" s="241"/>
    </row>
    <row r="1393" spans="3:26" ht="16.5">
      <c r="C1393" s="101"/>
      <c r="D1393" s="101"/>
      <c r="E1393" s="101"/>
      <c r="F1393" s="101"/>
      <c r="G1393" s="101"/>
      <c r="H1393" s="101"/>
      <c r="I1393" s="101"/>
      <c r="J1393" s="101"/>
      <c r="S1393" s="101"/>
      <c r="T1393" s="241"/>
      <c r="U1393" s="241"/>
      <c r="V1393" s="241"/>
      <c r="W1393" s="241"/>
      <c r="X1393" s="241"/>
      <c r="Y1393" s="241"/>
      <c r="Z1393" s="241"/>
    </row>
    <row r="1394" spans="3:26" ht="16.5">
      <c r="C1394" s="101"/>
      <c r="D1394" s="101"/>
      <c r="E1394" s="101"/>
      <c r="F1394" s="101"/>
      <c r="G1394" s="101"/>
      <c r="H1394" s="101"/>
      <c r="I1394" s="101"/>
      <c r="J1394" s="101"/>
      <c r="S1394" s="101"/>
      <c r="T1394" s="241"/>
      <c r="U1394" s="241"/>
      <c r="V1394" s="241"/>
      <c r="W1394" s="241"/>
      <c r="X1394" s="241"/>
      <c r="Y1394" s="241"/>
      <c r="Z1394" s="241"/>
    </row>
    <row r="1395" spans="3:26" ht="16.5">
      <c r="C1395" s="101"/>
      <c r="D1395" s="101"/>
      <c r="E1395" s="101"/>
      <c r="F1395" s="101"/>
      <c r="G1395" s="101"/>
      <c r="H1395" s="101"/>
      <c r="I1395" s="101"/>
      <c r="J1395" s="101"/>
      <c r="S1395" s="101"/>
      <c r="T1395" s="241"/>
      <c r="U1395" s="241"/>
      <c r="V1395" s="241"/>
      <c r="W1395" s="241"/>
      <c r="X1395" s="241"/>
      <c r="Y1395" s="241"/>
      <c r="Z1395" s="241"/>
    </row>
    <row r="1396" spans="3:26" ht="16.5">
      <c r="C1396" s="101"/>
      <c r="D1396" s="101"/>
      <c r="E1396" s="101"/>
      <c r="F1396" s="101"/>
      <c r="G1396" s="101"/>
      <c r="H1396" s="101"/>
      <c r="I1396" s="101"/>
      <c r="J1396" s="101"/>
      <c r="S1396" s="101"/>
      <c r="T1396" s="241"/>
      <c r="U1396" s="241"/>
      <c r="V1396" s="241"/>
      <c r="W1396" s="241"/>
      <c r="X1396" s="241"/>
      <c r="Y1396" s="241"/>
      <c r="Z1396" s="241"/>
    </row>
    <row r="1397" spans="3:26" ht="16.5">
      <c r="C1397" s="101"/>
      <c r="D1397" s="101"/>
      <c r="E1397" s="101"/>
      <c r="F1397" s="101"/>
      <c r="G1397" s="101"/>
      <c r="H1397" s="101"/>
      <c r="I1397" s="101"/>
      <c r="J1397" s="101"/>
      <c r="S1397" s="101"/>
      <c r="T1397" s="241"/>
      <c r="U1397" s="241"/>
      <c r="V1397" s="241"/>
      <c r="W1397" s="241"/>
      <c r="X1397" s="241"/>
      <c r="Y1397" s="241"/>
      <c r="Z1397" s="241"/>
    </row>
    <row r="1398" spans="3:26" ht="16.5">
      <c r="C1398" s="101"/>
      <c r="D1398" s="101"/>
      <c r="E1398" s="101"/>
      <c r="F1398" s="101"/>
      <c r="G1398" s="101"/>
      <c r="H1398" s="101"/>
      <c r="I1398" s="101"/>
      <c r="J1398" s="101"/>
      <c r="S1398" s="101"/>
      <c r="T1398" s="241"/>
      <c r="U1398" s="241"/>
      <c r="V1398" s="241"/>
      <c r="W1398" s="241"/>
      <c r="X1398" s="241"/>
      <c r="Y1398" s="241"/>
      <c r="Z1398" s="241"/>
    </row>
    <row r="1399" spans="3:26" ht="16.5">
      <c r="C1399" s="101"/>
      <c r="D1399" s="101"/>
      <c r="E1399" s="101"/>
      <c r="F1399" s="101"/>
      <c r="G1399" s="101"/>
      <c r="H1399" s="101"/>
      <c r="I1399" s="101"/>
      <c r="J1399" s="101"/>
      <c r="S1399" s="101"/>
      <c r="T1399" s="241"/>
      <c r="U1399" s="241"/>
      <c r="V1399" s="241"/>
      <c r="W1399" s="241"/>
      <c r="X1399" s="241"/>
      <c r="Y1399" s="241"/>
      <c r="Z1399" s="241"/>
    </row>
    <row r="1400" spans="3:26" ht="16.5">
      <c r="C1400" s="101"/>
      <c r="D1400" s="101"/>
      <c r="E1400" s="101"/>
      <c r="F1400" s="101"/>
      <c r="G1400" s="101"/>
      <c r="H1400" s="101"/>
      <c r="I1400" s="101"/>
      <c r="J1400" s="101"/>
      <c r="S1400" s="101"/>
      <c r="T1400" s="241"/>
      <c r="U1400" s="241"/>
      <c r="V1400" s="241"/>
      <c r="W1400" s="241"/>
      <c r="X1400" s="241"/>
      <c r="Y1400" s="241"/>
      <c r="Z1400" s="241"/>
    </row>
    <row r="1401" spans="3:26" ht="16.5">
      <c r="C1401" s="101"/>
      <c r="D1401" s="101"/>
      <c r="E1401" s="101"/>
      <c r="F1401" s="101"/>
      <c r="G1401" s="101"/>
      <c r="H1401" s="101"/>
      <c r="I1401" s="101"/>
      <c r="J1401" s="101"/>
      <c r="S1401" s="101"/>
      <c r="T1401" s="241"/>
      <c r="U1401" s="241"/>
      <c r="V1401" s="241"/>
      <c r="W1401" s="241"/>
      <c r="X1401" s="241"/>
      <c r="Y1401" s="241"/>
      <c r="Z1401" s="241"/>
    </row>
    <row r="1402" spans="3:26" ht="16.5">
      <c r="C1402" s="101"/>
      <c r="D1402" s="101"/>
      <c r="E1402" s="101"/>
      <c r="F1402" s="101"/>
      <c r="G1402" s="101"/>
      <c r="H1402" s="101"/>
      <c r="I1402" s="101"/>
      <c r="J1402" s="101"/>
      <c r="S1402" s="101"/>
      <c r="T1402" s="241"/>
      <c r="U1402" s="241"/>
      <c r="V1402" s="241"/>
      <c r="W1402" s="241"/>
      <c r="X1402" s="241"/>
      <c r="Y1402" s="241"/>
      <c r="Z1402" s="241"/>
    </row>
    <row r="1403" spans="3:26" ht="16.5">
      <c r="C1403" s="101"/>
      <c r="D1403" s="101"/>
      <c r="E1403" s="101"/>
      <c r="F1403" s="101"/>
      <c r="G1403" s="101"/>
      <c r="H1403" s="101"/>
      <c r="I1403" s="101"/>
      <c r="J1403" s="101"/>
      <c r="S1403" s="101"/>
      <c r="T1403" s="241"/>
      <c r="U1403" s="241"/>
      <c r="V1403" s="241"/>
      <c r="W1403" s="241"/>
      <c r="X1403" s="241"/>
      <c r="Y1403" s="241"/>
      <c r="Z1403" s="241"/>
    </row>
    <row r="1404" spans="3:26" ht="16.5">
      <c r="C1404" s="101"/>
      <c r="D1404" s="101"/>
      <c r="E1404" s="101"/>
      <c r="F1404" s="101"/>
      <c r="G1404" s="101"/>
      <c r="H1404" s="101"/>
      <c r="I1404" s="101"/>
      <c r="J1404" s="101"/>
      <c r="S1404" s="101"/>
      <c r="T1404" s="241"/>
      <c r="U1404" s="241"/>
      <c r="V1404" s="241"/>
      <c r="W1404" s="241"/>
      <c r="X1404" s="241"/>
      <c r="Y1404" s="241"/>
      <c r="Z1404" s="241"/>
    </row>
    <row r="1405" spans="3:26" ht="16.5">
      <c r="C1405" s="101"/>
      <c r="D1405" s="101"/>
      <c r="E1405" s="101"/>
      <c r="F1405" s="101"/>
      <c r="G1405" s="101"/>
      <c r="H1405" s="101"/>
      <c r="I1405" s="101"/>
      <c r="J1405" s="101"/>
      <c r="S1405" s="101"/>
      <c r="T1405" s="241"/>
      <c r="U1405" s="241"/>
      <c r="V1405" s="241"/>
      <c r="W1405" s="241"/>
      <c r="X1405" s="241"/>
      <c r="Y1405" s="241"/>
      <c r="Z1405" s="241"/>
    </row>
    <row r="1406" spans="3:26" ht="16.5">
      <c r="C1406" s="101"/>
      <c r="D1406" s="101"/>
      <c r="E1406" s="101"/>
      <c r="F1406" s="101"/>
      <c r="G1406" s="101"/>
      <c r="H1406" s="101"/>
      <c r="I1406" s="101"/>
      <c r="J1406" s="101"/>
      <c r="S1406" s="101"/>
      <c r="T1406" s="241"/>
      <c r="U1406" s="241"/>
      <c r="V1406" s="241"/>
      <c r="W1406" s="241"/>
      <c r="X1406" s="241"/>
      <c r="Y1406" s="241"/>
      <c r="Z1406" s="241"/>
    </row>
    <row r="1407" spans="3:26" ht="16.5">
      <c r="C1407" s="101"/>
      <c r="D1407" s="101"/>
      <c r="E1407" s="101"/>
      <c r="F1407" s="101"/>
      <c r="G1407" s="101"/>
      <c r="H1407" s="101"/>
      <c r="I1407" s="101"/>
      <c r="J1407" s="101"/>
      <c r="S1407" s="101"/>
      <c r="T1407" s="241"/>
      <c r="U1407" s="241"/>
      <c r="V1407" s="241"/>
      <c r="W1407" s="241"/>
      <c r="X1407" s="241"/>
      <c r="Y1407" s="241"/>
      <c r="Z1407" s="241"/>
    </row>
    <row r="1408" spans="3:26" ht="16.5">
      <c r="C1408" s="101"/>
      <c r="D1408" s="101"/>
      <c r="E1408" s="101"/>
      <c r="F1408" s="101"/>
      <c r="G1408" s="101"/>
      <c r="H1408" s="101"/>
      <c r="I1408" s="101"/>
      <c r="J1408" s="101"/>
      <c r="S1408" s="101"/>
      <c r="T1408" s="241"/>
      <c r="U1408" s="241"/>
      <c r="V1408" s="241"/>
      <c r="W1408" s="241"/>
      <c r="X1408" s="241"/>
      <c r="Y1408" s="241"/>
      <c r="Z1408" s="241"/>
    </row>
    <row r="1409" spans="3:26" ht="16.5">
      <c r="C1409" s="101"/>
      <c r="D1409" s="101"/>
      <c r="E1409" s="101"/>
      <c r="F1409" s="101"/>
      <c r="G1409" s="101"/>
      <c r="H1409" s="101"/>
      <c r="I1409" s="101"/>
      <c r="J1409" s="101"/>
      <c r="S1409" s="101"/>
      <c r="T1409" s="241"/>
      <c r="U1409" s="241"/>
      <c r="V1409" s="241"/>
      <c r="W1409" s="241"/>
      <c r="X1409" s="241"/>
      <c r="Y1409" s="241"/>
      <c r="Z1409" s="241"/>
    </row>
    <row r="1410" spans="3:26" ht="16.5">
      <c r="C1410" s="101"/>
      <c r="D1410" s="101"/>
      <c r="E1410" s="101"/>
      <c r="F1410" s="101"/>
      <c r="G1410" s="101"/>
      <c r="H1410" s="101"/>
      <c r="I1410" s="101"/>
      <c r="J1410" s="101"/>
      <c r="S1410" s="101"/>
      <c r="T1410" s="241"/>
      <c r="U1410" s="241"/>
      <c r="V1410" s="241"/>
      <c r="W1410" s="241"/>
      <c r="X1410" s="241"/>
      <c r="Y1410" s="241"/>
      <c r="Z1410" s="241"/>
    </row>
    <row r="1411" spans="3:26" ht="16.5">
      <c r="C1411" s="101"/>
      <c r="D1411" s="101"/>
      <c r="E1411" s="101"/>
      <c r="F1411" s="101"/>
      <c r="G1411" s="101"/>
      <c r="H1411" s="101"/>
      <c r="I1411" s="101"/>
      <c r="J1411" s="101"/>
      <c r="S1411" s="101"/>
      <c r="T1411" s="241"/>
      <c r="U1411" s="241"/>
      <c r="V1411" s="241"/>
      <c r="W1411" s="241"/>
      <c r="X1411" s="241"/>
      <c r="Y1411" s="241"/>
      <c r="Z1411" s="241"/>
    </row>
    <row r="1412" spans="3:26" ht="16.5">
      <c r="C1412" s="101"/>
      <c r="D1412" s="101"/>
      <c r="E1412" s="101"/>
      <c r="F1412" s="101"/>
      <c r="G1412" s="101"/>
      <c r="H1412" s="101"/>
      <c r="I1412" s="101"/>
      <c r="J1412" s="101"/>
      <c r="S1412" s="101"/>
      <c r="T1412" s="241"/>
      <c r="U1412" s="241"/>
      <c r="V1412" s="241"/>
      <c r="W1412" s="241"/>
      <c r="X1412" s="241"/>
      <c r="Y1412" s="241"/>
      <c r="Z1412" s="241"/>
    </row>
    <row r="1413" spans="3:26" ht="16.5">
      <c r="C1413" s="101"/>
      <c r="D1413" s="101"/>
      <c r="E1413" s="101"/>
      <c r="F1413" s="101"/>
      <c r="G1413" s="101"/>
      <c r="H1413" s="101"/>
      <c r="I1413" s="101"/>
      <c r="J1413" s="101"/>
      <c r="S1413" s="101"/>
      <c r="T1413" s="241"/>
      <c r="U1413" s="241"/>
      <c r="V1413" s="241"/>
      <c r="W1413" s="241"/>
      <c r="X1413" s="241"/>
      <c r="Y1413" s="241"/>
      <c r="Z1413" s="241"/>
    </row>
    <row r="1414" spans="3:26" ht="16.5">
      <c r="C1414" s="101"/>
      <c r="D1414" s="101"/>
      <c r="E1414" s="101"/>
      <c r="F1414" s="101"/>
      <c r="G1414" s="101"/>
      <c r="H1414" s="101"/>
      <c r="I1414" s="101"/>
      <c r="J1414" s="101"/>
      <c r="S1414" s="101"/>
      <c r="T1414" s="241"/>
      <c r="U1414" s="241"/>
      <c r="V1414" s="241"/>
      <c r="W1414" s="241"/>
      <c r="X1414" s="241"/>
      <c r="Y1414" s="241"/>
      <c r="Z1414" s="241"/>
    </row>
    <row r="1415" spans="3:26" ht="16.5">
      <c r="C1415" s="101"/>
      <c r="D1415" s="101"/>
      <c r="E1415" s="101"/>
      <c r="F1415" s="101"/>
      <c r="G1415" s="101"/>
      <c r="H1415" s="101"/>
      <c r="I1415" s="101"/>
      <c r="J1415" s="101"/>
      <c r="S1415" s="101"/>
      <c r="T1415" s="241"/>
      <c r="U1415" s="241"/>
      <c r="V1415" s="241"/>
      <c r="W1415" s="241"/>
      <c r="X1415" s="241"/>
      <c r="Y1415" s="241"/>
      <c r="Z1415" s="241"/>
    </row>
    <row r="1416" spans="3:26" ht="16.5">
      <c r="C1416" s="101"/>
      <c r="D1416" s="101"/>
      <c r="E1416" s="101"/>
      <c r="F1416" s="101"/>
      <c r="G1416" s="101"/>
      <c r="H1416" s="101"/>
      <c r="I1416" s="101"/>
      <c r="J1416" s="101"/>
      <c r="S1416" s="101"/>
      <c r="T1416" s="241"/>
      <c r="U1416" s="241"/>
      <c r="V1416" s="241"/>
      <c r="W1416" s="241"/>
      <c r="X1416" s="241"/>
      <c r="Y1416" s="241"/>
      <c r="Z1416" s="241"/>
    </row>
    <row r="1417" spans="3:26" ht="16.5">
      <c r="C1417" s="101"/>
      <c r="D1417" s="101"/>
      <c r="E1417" s="101"/>
      <c r="F1417" s="101"/>
      <c r="G1417" s="101"/>
      <c r="H1417" s="101"/>
      <c r="I1417" s="101"/>
      <c r="J1417" s="101"/>
      <c r="S1417" s="101"/>
      <c r="T1417" s="241"/>
      <c r="U1417" s="241"/>
      <c r="V1417" s="241"/>
      <c r="W1417" s="241"/>
      <c r="X1417" s="241"/>
      <c r="Y1417" s="241"/>
      <c r="Z1417" s="241"/>
    </row>
    <row r="1418" spans="3:26" ht="16.5">
      <c r="C1418" s="101"/>
      <c r="D1418" s="101"/>
      <c r="E1418" s="101"/>
      <c r="F1418" s="101"/>
      <c r="G1418" s="101"/>
      <c r="H1418" s="101"/>
      <c r="I1418" s="101"/>
      <c r="J1418" s="101"/>
      <c r="S1418" s="101"/>
      <c r="T1418" s="241"/>
      <c r="U1418" s="241"/>
      <c r="V1418" s="241"/>
      <c r="W1418" s="241"/>
      <c r="X1418" s="241"/>
      <c r="Y1418" s="241"/>
      <c r="Z1418" s="241"/>
    </row>
    <row r="1419" spans="3:26" ht="16.5">
      <c r="C1419" s="101"/>
      <c r="D1419" s="101"/>
      <c r="E1419" s="101"/>
      <c r="F1419" s="101"/>
      <c r="G1419" s="101"/>
      <c r="H1419" s="101"/>
      <c r="I1419" s="101"/>
      <c r="J1419" s="101"/>
      <c r="S1419" s="101"/>
      <c r="T1419" s="241"/>
      <c r="U1419" s="241"/>
      <c r="V1419" s="241"/>
      <c r="W1419" s="241"/>
      <c r="X1419" s="241"/>
      <c r="Y1419" s="241"/>
      <c r="Z1419" s="241"/>
    </row>
    <row r="1420" spans="3:26" ht="16.5">
      <c r="C1420" s="101"/>
      <c r="D1420" s="101"/>
      <c r="E1420" s="101"/>
      <c r="F1420" s="101"/>
      <c r="G1420" s="101"/>
      <c r="H1420" s="101"/>
      <c r="I1420" s="101"/>
      <c r="J1420" s="101"/>
      <c r="S1420" s="101"/>
      <c r="T1420" s="241"/>
      <c r="U1420" s="241"/>
      <c r="V1420" s="241"/>
      <c r="W1420" s="241"/>
      <c r="X1420" s="241"/>
      <c r="Y1420" s="241"/>
      <c r="Z1420" s="241"/>
    </row>
    <row r="1421" spans="3:26" ht="16.5">
      <c r="C1421" s="101"/>
      <c r="D1421" s="101"/>
      <c r="E1421" s="101"/>
      <c r="F1421" s="101"/>
      <c r="G1421" s="101"/>
      <c r="H1421" s="101"/>
      <c r="I1421" s="101"/>
      <c r="J1421" s="101"/>
      <c r="S1421" s="101"/>
      <c r="T1421" s="241"/>
      <c r="U1421" s="241"/>
      <c r="V1421" s="241"/>
      <c r="W1421" s="241"/>
      <c r="X1421" s="241"/>
      <c r="Y1421" s="241"/>
      <c r="Z1421" s="241"/>
    </row>
    <row r="1422" spans="3:26" ht="16.5">
      <c r="C1422" s="101"/>
      <c r="D1422" s="101"/>
      <c r="E1422" s="101"/>
      <c r="F1422" s="101"/>
      <c r="G1422" s="101"/>
      <c r="H1422" s="101"/>
      <c r="I1422" s="101"/>
      <c r="J1422" s="101"/>
      <c r="S1422" s="101"/>
      <c r="T1422" s="241"/>
      <c r="U1422" s="241"/>
      <c r="V1422" s="241"/>
      <c r="W1422" s="241"/>
      <c r="X1422" s="241"/>
      <c r="Y1422" s="241"/>
      <c r="Z1422" s="241"/>
    </row>
    <row r="1423" spans="3:26" ht="16.5">
      <c r="C1423" s="101"/>
      <c r="D1423" s="101"/>
      <c r="E1423" s="101"/>
      <c r="F1423" s="101"/>
      <c r="G1423" s="101"/>
      <c r="H1423" s="101"/>
      <c r="I1423" s="101"/>
      <c r="J1423" s="101"/>
      <c r="S1423" s="101"/>
      <c r="T1423" s="241"/>
      <c r="U1423" s="241"/>
      <c r="V1423" s="241"/>
      <c r="W1423" s="241"/>
      <c r="X1423" s="241"/>
      <c r="Y1423" s="241"/>
      <c r="Z1423" s="241"/>
    </row>
    <row r="1424" spans="3:26" ht="16.5">
      <c r="C1424" s="101"/>
      <c r="D1424" s="101"/>
      <c r="E1424" s="101"/>
      <c r="F1424" s="101"/>
      <c r="G1424" s="101"/>
      <c r="H1424" s="101"/>
      <c r="I1424" s="101"/>
      <c r="J1424" s="101"/>
      <c r="S1424" s="101"/>
      <c r="T1424" s="241"/>
      <c r="U1424" s="241"/>
      <c r="V1424" s="241"/>
      <c r="W1424" s="241"/>
      <c r="X1424" s="241"/>
      <c r="Y1424" s="241"/>
      <c r="Z1424" s="241"/>
    </row>
    <row r="1425" spans="3:26" ht="16.5">
      <c r="C1425" s="101"/>
      <c r="D1425" s="101"/>
      <c r="E1425" s="101"/>
      <c r="F1425" s="101"/>
      <c r="G1425" s="101"/>
      <c r="H1425" s="101"/>
      <c r="I1425" s="101"/>
      <c r="J1425" s="101"/>
      <c r="S1425" s="101"/>
      <c r="T1425" s="241"/>
      <c r="U1425" s="241"/>
      <c r="V1425" s="241"/>
      <c r="W1425" s="241"/>
      <c r="X1425" s="241"/>
      <c r="Y1425" s="241"/>
      <c r="Z1425" s="241"/>
    </row>
    <row r="1426" spans="3:26" ht="16.5">
      <c r="C1426" s="101"/>
      <c r="D1426" s="101"/>
      <c r="E1426" s="101"/>
      <c r="F1426" s="101"/>
      <c r="G1426" s="101"/>
      <c r="H1426" s="101"/>
      <c r="I1426" s="101"/>
      <c r="J1426" s="101"/>
      <c r="S1426" s="101"/>
      <c r="T1426" s="241"/>
      <c r="U1426" s="241"/>
      <c r="V1426" s="241"/>
      <c r="W1426" s="241"/>
      <c r="X1426" s="241"/>
      <c r="Y1426" s="241"/>
      <c r="Z1426" s="241"/>
    </row>
    <row r="1427" spans="3:26" ht="16.5">
      <c r="C1427" s="101"/>
      <c r="D1427" s="101"/>
      <c r="E1427" s="101"/>
      <c r="F1427" s="101"/>
      <c r="G1427" s="101"/>
      <c r="H1427" s="101"/>
      <c r="I1427" s="101"/>
      <c r="J1427" s="101"/>
      <c r="S1427" s="101"/>
      <c r="T1427" s="241"/>
      <c r="U1427" s="241"/>
      <c r="V1427" s="241"/>
      <c r="W1427" s="241"/>
      <c r="X1427" s="241"/>
      <c r="Y1427" s="241"/>
      <c r="Z1427" s="241"/>
    </row>
    <row r="1428" spans="3:26" ht="16.5">
      <c r="C1428" s="101"/>
      <c r="D1428" s="101"/>
      <c r="E1428" s="101"/>
      <c r="F1428" s="101"/>
      <c r="G1428" s="101"/>
      <c r="H1428" s="101"/>
      <c r="I1428" s="101"/>
      <c r="J1428" s="101"/>
      <c r="S1428" s="101"/>
      <c r="T1428" s="241"/>
      <c r="U1428" s="241"/>
      <c r="V1428" s="241"/>
      <c r="W1428" s="241"/>
      <c r="X1428" s="241"/>
      <c r="Y1428" s="241"/>
      <c r="Z1428" s="241"/>
    </row>
    <row r="1429" spans="3:26" ht="16.5">
      <c r="C1429" s="101"/>
      <c r="D1429" s="101"/>
      <c r="E1429" s="101"/>
      <c r="F1429" s="101"/>
      <c r="G1429" s="101"/>
      <c r="H1429" s="101"/>
      <c r="I1429" s="101"/>
      <c r="J1429" s="101"/>
      <c r="S1429" s="101"/>
      <c r="T1429" s="241"/>
      <c r="U1429" s="241"/>
      <c r="V1429" s="241"/>
      <c r="W1429" s="241"/>
      <c r="X1429" s="241"/>
      <c r="Y1429" s="241"/>
      <c r="Z1429" s="241"/>
    </row>
    <row r="1430" spans="3:26" ht="16.5">
      <c r="C1430" s="101"/>
      <c r="D1430" s="101"/>
      <c r="E1430" s="101"/>
      <c r="F1430" s="101"/>
      <c r="G1430" s="101"/>
      <c r="H1430" s="101"/>
      <c r="I1430" s="101"/>
      <c r="J1430" s="101"/>
      <c r="S1430" s="101"/>
      <c r="T1430" s="241"/>
      <c r="U1430" s="241"/>
      <c r="V1430" s="241"/>
      <c r="W1430" s="241"/>
      <c r="X1430" s="241"/>
      <c r="Y1430" s="241"/>
      <c r="Z1430" s="241"/>
    </row>
    <row r="1431" spans="3:26" ht="16.5">
      <c r="C1431" s="101"/>
      <c r="D1431" s="101"/>
      <c r="E1431" s="101"/>
      <c r="F1431" s="101"/>
      <c r="G1431" s="101"/>
      <c r="H1431" s="101"/>
      <c r="I1431" s="101"/>
      <c r="J1431" s="101"/>
      <c r="S1431" s="101"/>
      <c r="T1431" s="241"/>
      <c r="U1431" s="241"/>
      <c r="V1431" s="241"/>
      <c r="W1431" s="241"/>
      <c r="X1431" s="241"/>
      <c r="Y1431" s="241"/>
      <c r="Z1431" s="241"/>
    </row>
    <row r="1432" spans="3:26" ht="16.5">
      <c r="C1432" s="101"/>
      <c r="D1432" s="101"/>
      <c r="E1432" s="101"/>
      <c r="F1432" s="101"/>
      <c r="G1432" s="101"/>
      <c r="H1432" s="101"/>
      <c r="I1432" s="101"/>
      <c r="J1432" s="101"/>
      <c r="S1432" s="101"/>
      <c r="T1432" s="241"/>
      <c r="U1432" s="241"/>
      <c r="V1432" s="241"/>
      <c r="W1432" s="241"/>
      <c r="X1432" s="241"/>
      <c r="Y1432" s="241"/>
      <c r="Z1432" s="241"/>
    </row>
    <row r="1433" spans="3:26" ht="16.5">
      <c r="C1433" s="101"/>
      <c r="D1433" s="101"/>
      <c r="E1433" s="101"/>
      <c r="F1433" s="101"/>
      <c r="G1433" s="101"/>
      <c r="H1433" s="101"/>
      <c r="I1433" s="101"/>
      <c r="J1433" s="101"/>
      <c r="S1433" s="101"/>
      <c r="T1433" s="241"/>
      <c r="U1433" s="241"/>
      <c r="V1433" s="241"/>
      <c r="W1433" s="241"/>
      <c r="X1433" s="241"/>
      <c r="Y1433" s="241"/>
      <c r="Z1433" s="241"/>
    </row>
    <row r="1434" spans="3:26" ht="16.5">
      <c r="C1434" s="101"/>
      <c r="D1434" s="101"/>
      <c r="E1434" s="101"/>
      <c r="F1434" s="101"/>
      <c r="G1434" s="101"/>
      <c r="H1434" s="101"/>
      <c r="I1434" s="101"/>
      <c r="J1434" s="101"/>
      <c r="S1434" s="101"/>
      <c r="T1434" s="241"/>
      <c r="U1434" s="241"/>
      <c r="V1434" s="241"/>
      <c r="W1434" s="241"/>
      <c r="X1434" s="241"/>
      <c r="Y1434" s="241"/>
      <c r="Z1434" s="241"/>
    </row>
    <row r="1435" spans="3:26" ht="16.5">
      <c r="C1435" s="101"/>
      <c r="D1435" s="101"/>
      <c r="E1435" s="101"/>
      <c r="F1435" s="101"/>
      <c r="G1435" s="101"/>
      <c r="H1435" s="101"/>
      <c r="I1435" s="101"/>
      <c r="J1435" s="101"/>
      <c r="S1435" s="101"/>
      <c r="T1435" s="241"/>
      <c r="U1435" s="241"/>
      <c r="V1435" s="241"/>
      <c r="W1435" s="241"/>
      <c r="X1435" s="241"/>
      <c r="Y1435" s="241"/>
      <c r="Z1435" s="241"/>
    </row>
    <row r="1436" spans="3:26" ht="16.5">
      <c r="C1436" s="101"/>
      <c r="D1436" s="101"/>
      <c r="E1436" s="101"/>
      <c r="F1436" s="101"/>
      <c r="G1436" s="101"/>
      <c r="H1436" s="101"/>
      <c r="I1436" s="101"/>
      <c r="J1436" s="101"/>
      <c r="S1436" s="101"/>
      <c r="T1436" s="241"/>
      <c r="U1436" s="241"/>
      <c r="V1436" s="241"/>
      <c r="W1436" s="241"/>
      <c r="X1436" s="241"/>
      <c r="Y1436" s="241"/>
      <c r="Z1436" s="241"/>
    </row>
    <row r="1437" spans="3:26" ht="16.5">
      <c r="C1437" s="101"/>
      <c r="D1437" s="101"/>
      <c r="E1437" s="101"/>
      <c r="F1437" s="101"/>
      <c r="G1437" s="101"/>
      <c r="H1437" s="101"/>
      <c r="I1437" s="101"/>
      <c r="J1437" s="101"/>
      <c r="S1437" s="101"/>
      <c r="T1437" s="241"/>
      <c r="U1437" s="241"/>
      <c r="V1437" s="241"/>
      <c r="W1437" s="241"/>
      <c r="X1437" s="241"/>
      <c r="Y1437" s="241"/>
      <c r="Z1437" s="241"/>
    </row>
    <row r="1438" spans="3:26" ht="16.5">
      <c r="C1438" s="101"/>
      <c r="D1438" s="101"/>
      <c r="E1438" s="101"/>
      <c r="F1438" s="101"/>
      <c r="G1438" s="101"/>
      <c r="H1438" s="101"/>
      <c r="I1438" s="101"/>
      <c r="J1438" s="101"/>
      <c r="S1438" s="101"/>
      <c r="T1438" s="241"/>
      <c r="U1438" s="241"/>
      <c r="V1438" s="241"/>
      <c r="W1438" s="241"/>
      <c r="X1438" s="241"/>
      <c r="Y1438" s="241"/>
      <c r="Z1438" s="241"/>
    </row>
    <row r="1439" spans="3:26" ht="16.5">
      <c r="C1439" s="101"/>
      <c r="D1439" s="101"/>
      <c r="E1439" s="101"/>
      <c r="F1439" s="101"/>
      <c r="G1439" s="101"/>
      <c r="H1439" s="101"/>
      <c r="I1439" s="101"/>
      <c r="J1439" s="101"/>
      <c r="S1439" s="101"/>
      <c r="T1439" s="241"/>
      <c r="U1439" s="241"/>
      <c r="V1439" s="241"/>
      <c r="W1439" s="241"/>
      <c r="X1439" s="241"/>
      <c r="Y1439" s="241"/>
      <c r="Z1439" s="241"/>
    </row>
    <row r="1440" spans="3:26" ht="16.5">
      <c r="C1440" s="101"/>
      <c r="D1440" s="101"/>
      <c r="E1440" s="101"/>
      <c r="F1440" s="101"/>
      <c r="G1440" s="101"/>
      <c r="H1440" s="101"/>
      <c r="I1440" s="101"/>
      <c r="J1440" s="101"/>
      <c r="S1440" s="101"/>
      <c r="T1440" s="241"/>
      <c r="U1440" s="241"/>
      <c r="V1440" s="241"/>
      <c r="W1440" s="241"/>
      <c r="X1440" s="241"/>
      <c r="Y1440" s="241"/>
      <c r="Z1440" s="241"/>
    </row>
    <row r="1441" spans="3:26" ht="16.5">
      <c r="C1441" s="101"/>
      <c r="D1441" s="101"/>
      <c r="E1441" s="101"/>
      <c r="F1441" s="101"/>
      <c r="G1441" s="101"/>
      <c r="H1441" s="101"/>
      <c r="I1441" s="101"/>
      <c r="J1441" s="101"/>
      <c r="S1441" s="101"/>
      <c r="T1441" s="241"/>
      <c r="U1441" s="241"/>
      <c r="V1441" s="241"/>
      <c r="W1441" s="241"/>
      <c r="X1441" s="241"/>
      <c r="Y1441" s="241"/>
      <c r="Z1441" s="241"/>
    </row>
    <row r="1442" spans="3:26" ht="16.5">
      <c r="C1442" s="101"/>
      <c r="D1442" s="101"/>
      <c r="E1442" s="101"/>
      <c r="F1442" s="101"/>
      <c r="G1442" s="101"/>
      <c r="H1442" s="101"/>
      <c r="I1442" s="101"/>
      <c r="J1442" s="101"/>
      <c r="S1442" s="101"/>
      <c r="T1442" s="241"/>
      <c r="U1442" s="241"/>
      <c r="V1442" s="241"/>
      <c r="W1442" s="241"/>
      <c r="X1442" s="241"/>
      <c r="Y1442" s="241"/>
      <c r="Z1442" s="241"/>
    </row>
    <row r="1443" spans="3:26" ht="16.5">
      <c r="C1443" s="101"/>
      <c r="D1443" s="101"/>
      <c r="E1443" s="101"/>
      <c r="F1443" s="101"/>
      <c r="G1443" s="101"/>
      <c r="H1443" s="101"/>
      <c r="I1443" s="101"/>
      <c r="J1443" s="101"/>
      <c r="S1443" s="101"/>
      <c r="T1443" s="241"/>
      <c r="U1443" s="241"/>
      <c r="V1443" s="241"/>
      <c r="W1443" s="241"/>
      <c r="X1443" s="241"/>
      <c r="Y1443" s="241"/>
      <c r="Z1443" s="241"/>
    </row>
    <row r="1444" spans="3:26" ht="16.5">
      <c r="C1444" s="101"/>
      <c r="D1444" s="101"/>
      <c r="E1444" s="101"/>
      <c r="F1444" s="101"/>
      <c r="G1444" s="101"/>
      <c r="H1444" s="101"/>
      <c r="I1444" s="101"/>
      <c r="J1444" s="101"/>
      <c r="S1444" s="101"/>
      <c r="T1444" s="241"/>
      <c r="U1444" s="241"/>
      <c r="V1444" s="241"/>
      <c r="W1444" s="241"/>
      <c r="X1444" s="241"/>
      <c r="Y1444" s="241"/>
      <c r="Z1444" s="241"/>
    </row>
    <row r="1445" spans="3:26" ht="16.5">
      <c r="C1445" s="101"/>
      <c r="D1445" s="101"/>
      <c r="E1445" s="101"/>
      <c r="F1445" s="101"/>
      <c r="G1445" s="101"/>
      <c r="H1445" s="101"/>
      <c r="I1445" s="101"/>
      <c r="J1445" s="101"/>
      <c r="S1445" s="101"/>
      <c r="T1445" s="241"/>
      <c r="U1445" s="241"/>
      <c r="V1445" s="241"/>
      <c r="W1445" s="241"/>
      <c r="X1445" s="241"/>
      <c r="Y1445" s="241"/>
      <c r="Z1445" s="241"/>
    </row>
    <row r="1446" spans="3:26" ht="16.5">
      <c r="C1446" s="101"/>
      <c r="D1446" s="101"/>
      <c r="E1446" s="101"/>
      <c r="F1446" s="101"/>
      <c r="G1446" s="101"/>
      <c r="H1446" s="101"/>
      <c r="I1446" s="101"/>
      <c r="J1446" s="101"/>
      <c r="S1446" s="101"/>
      <c r="T1446" s="241"/>
      <c r="U1446" s="241"/>
      <c r="V1446" s="241"/>
      <c r="W1446" s="241"/>
      <c r="X1446" s="241"/>
      <c r="Y1446" s="241"/>
      <c r="Z1446" s="241"/>
    </row>
    <row r="1447" spans="3:26" ht="16.5">
      <c r="C1447" s="101"/>
      <c r="D1447" s="101"/>
      <c r="E1447" s="101"/>
      <c r="F1447" s="101"/>
      <c r="G1447" s="101"/>
      <c r="H1447" s="101"/>
      <c r="I1447" s="101"/>
      <c r="J1447" s="101"/>
      <c r="S1447" s="101"/>
      <c r="T1447" s="241"/>
      <c r="U1447" s="241"/>
      <c r="V1447" s="241"/>
      <c r="W1447" s="241"/>
      <c r="X1447" s="241"/>
      <c r="Y1447" s="241"/>
      <c r="Z1447" s="241"/>
    </row>
    <row r="1448" spans="3:26" ht="16.5">
      <c r="C1448" s="101"/>
      <c r="D1448" s="101"/>
      <c r="E1448" s="101"/>
      <c r="F1448" s="101"/>
      <c r="G1448" s="101"/>
      <c r="H1448" s="101"/>
      <c r="I1448" s="101"/>
      <c r="J1448" s="101"/>
      <c r="S1448" s="101"/>
      <c r="T1448" s="241"/>
      <c r="U1448" s="241"/>
      <c r="V1448" s="241"/>
      <c r="W1448" s="241"/>
      <c r="X1448" s="241"/>
      <c r="Y1448" s="241"/>
      <c r="Z1448" s="241"/>
    </row>
    <row r="1449" spans="3:26" ht="16.5">
      <c r="C1449" s="101"/>
      <c r="D1449" s="101"/>
      <c r="E1449" s="101"/>
      <c r="F1449" s="101"/>
      <c r="G1449" s="101"/>
      <c r="H1449" s="101"/>
      <c r="I1449" s="101"/>
      <c r="J1449" s="101"/>
      <c r="S1449" s="101"/>
      <c r="T1449" s="241"/>
      <c r="U1449" s="241"/>
      <c r="V1449" s="241"/>
      <c r="W1449" s="241"/>
      <c r="X1449" s="241"/>
      <c r="Y1449" s="241"/>
      <c r="Z1449" s="241"/>
    </row>
    <row r="1450" spans="3:26" ht="16.5">
      <c r="C1450" s="101"/>
      <c r="D1450" s="101"/>
      <c r="E1450" s="101"/>
      <c r="F1450" s="101"/>
      <c r="G1450" s="101"/>
      <c r="H1450" s="101"/>
      <c r="I1450" s="101"/>
      <c r="J1450" s="101"/>
      <c r="S1450" s="101"/>
      <c r="T1450" s="241"/>
      <c r="U1450" s="241"/>
      <c r="V1450" s="241"/>
      <c r="W1450" s="241"/>
      <c r="X1450" s="241"/>
      <c r="Y1450" s="241"/>
      <c r="Z1450" s="241"/>
    </row>
    <row r="1451" spans="3:26" ht="16.5">
      <c r="C1451" s="101"/>
      <c r="D1451" s="101"/>
      <c r="E1451" s="101"/>
      <c r="F1451" s="101"/>
      <c r="G1451" s="101"/>
      <c r="H1451" s="101"/>
      <c r="I1451" s="101"/>
      <c r="J1451" s="101"/>
      <c r="S1451" s="101"/>
      <c r="T1451" s="241"/>
      <c r="U1451" s="241"/>
      <c r="V1451" s="241"/>
      <c r="W1451" s="241"/>
      <c r="X1451" s="241"/>
      <c r="Y1451" s="241"/>
      <c r="Z1451" s="241"/>
    </row>
    <row r="1452" spans="3:26" ht="16.5">
      <c r="C1452" s="101"/>
      <c r="D1452" s="101"/>
      <c r="E1452" s="101"/>
      <c r="F1452" s="101"/>
      <c r="G1452" s="101"/>
      <c r="H1452" s="101"/>
      <c r="I1452" s="101"/>
      <c r="J1452" s="101"/>
      <c r="S1452" s="101"/>
      <c r="T1452" s="241"/>
      <c r="U1452" s="241"/>
      <c r="V1452" s="241"/>
      <c r="W1452" s="241"/>
      <c r="X1452" s="241"/>
      <c r="Y1452" s="241"/>
      <c r="Z1452" s="241"/>
    </row>
    <row r="1453" spans="3:26" ht="16.5">
      <c r="C1453" s="101"/>
      <c r="D1453" s="101"/>
      <c r="E1453" s="101"/>
      <c r="F1453" s="101"/>
      <c r="G1453" s="101"/>
      <c r="H1453" s="101"/>
      <c r="I1453" s="101"/>
      <c r="J1453" s="101"/>
      <c r="S1453" s="101"/>
      <c r="T1453" s="241"/>
      <c r="U1453" s="241"/>
      <c r="V1453" s="241"/>
      <c r="W1453" s="241"/>
      <c r="X1453" s="241"/>
      <c r="Y1453" s="241"/>
      <c r="Z1453" s="241"/>
    </row>
    <row r="1454" spans="3:26" ht="16.5">
      <c r="C1454" s="101"/>
      <c r="D1454" s="101"/>
      <c r="E1454" s="101"/>
      <c r="F1454" s="101"/>
      <c r="G1454" s="101"/>
      <c r="H1454" s="101"/>
      <c r="I1454" s="101"/>
      <c r="J1454" s="101"/>
      <c r="S1454" s="101"/>
      <c r="T1454" s="241"/>
      <c r="U1454" s="241"/>
      <c r="V1454" s="241"/>
      <c r="W1454" s="241"/>
      <c r="X1454" s="241"/>
      <c r="Y1454" s="241"/>
      <c r="Z1454" s="241"/>
    </row>
    <row r="1455" spans="3:26" ht="16.5">
      <c r="C1455" s="101"/>
      <c r="D1455" s="101"/>
      <c r="E1455" s="101"/>
      <c r="F1455" s="101"/>
      <c r="G1455" s="101"/>
      <c r="H1455" s="101"/>
      <c r="I1455" s="101"/>
      <c r="J1455" s="101"/>
      <c r="S1455" s="101"/>
      <c r="T1455" s="241"/>
      <c r="U1455" s="241"/>
      <c r="V1455" s="241"/>
      <c r="W1455" s="241"/>
      <c r="X1455" s="241"/>
      <c r="Y1455" s="241"/>
      <c r="Z1455" s="241"/>
    </row>
    <row r="1456" spans="3:26" ht="16.5">
      <c r="C1456" s="101"/>
      <c r="D1456" s="101"/>
      <c r="E1456" s="101"/>
      <c r="F1456" s="101"/>
      <c r="G1456" s="101"/>
      <c r="H1456" s="101"/>
      <c r="I1456" s="101"/>
      <c r="J1456" s="101"/>
      <c r="S1456" s="101"/>
      <c r="T1456" s="241"/>
      <c r="U1456" s="241"/>
      <c r="V1456" s="241"/>
      <c r="W1456" s="241"/>
      <c r="X1456" s="241"/>
      <c r="Y1456" s="241"/>
      <c r="Z1456" s="241"/>
    </row>
    <row r="1457" spans="3:26" ht="16.5">
      <c r="C1457" s="101"/>
      <c r="D1457" s="101"/>
      <c r="E1457" s="101"/>
      <c r="F1457" s="101"/>
      <c r="G1457" s="101"/>
      <c r="H1457" s="101"/>
      <c r="I1457" s="101"/>
      <c r="J1457" s="101"/>
      <c r="S1457" s="101"/>
      <c r="T1457" s="241"/>
      <c r="U1457" s="241"/>
      <c r="V1457" s="241"/>
      <c r="W1457" s="241"/>
      <c r="X1457" s="241"/>
      <c r="Y1457" s="241"/>
      <c r="Z1457" s="241"/>
    </row>
    <row r="1458" spans="3:26" ht="16.5">
      <c r="C1458" s="101"/>
      <c r="D1458" s="101"/>
      <c r="E1458" s="101"/>
      <c r="F1458" s="101"/>
      <c r="G1458" s="101"/>
      <c r="H1458" s="101"/>
      <c r="I1458" s="101"/>
      <c r="J1458" s="101"/>
      <c r="S1458" s="101"/>
      <c r="T1458" s="241"/>
      <c r="U1458" s="241"/>
      <c r="V1458" s="241"/>
      <c r="W1458" s="241"/>
      <c r="X1458" s="241"/>
      <c r="Y1458" s="241"/>
      <c r="Z1458" s="241"/>
    </row>
    <row r="1459" spans="3:26" ht="16.5">
      <c r="C1459" s="101"/>
      <c r="D1459" s="101"/>
      <c r="E1459" s="101"/>
      <c r="F1459" s="101"/>
      <c r="G1459" s="101"/>
      <c r="H1459" s="101"/>
      <c r="I1459" s="101"/>
      <c r="J1459" s="101"/>
      <c r="S1459" s="101"/>
      <c r="T1459" s="241"/>
      <c r="U1459" s="241"/>
      <c r="V1459" s="241"/>
      <c r="W1459" s="241"/>
      <c r="X1459" s="241"/>
      <c r="Y1459" s="241"/>
      <c r="Z1459" s="241"/>
    </row>
    <row r="1460" spans="3:26" ht="16.5">
      <c r="C1460" s="101"/>
      <c r="D1460" s="101"/>
      <c r="E1460" s="101"/>
      <c r="F1460" s="101"/>
      <c r="G1460" s="101"/>
      <c r="H1460" s="101"/>
      <c r="I1460" s="101"/>
      <c r="J1460" s="101"/>
      <c r="S1460" s="101"/>
      <c r="T1460" s="241"/>
      <c r="U1460" s="241"/>
      <c r="V1460" s="241"/>
      <c r="W1460" s="241"/>
      <c r="X1460" s="241"/>
      <c r="Y1460" s="241"/>
      <c r="Z1460" s="241"/>
    </row>
    <row r="1461" spans="3:26" ht="16.5">
      <c r="C1461" s="101"/>
      <c r="D1461" s="101"/>
      <c r="E1461" s="101"/>
      <c r="F1461" s="101"/>
      <c r="G1461" s="101"/>
      <c r="H1461" s="101"/>
      <c r="I1461" s="101"/>
      <c r="J1461" s="101"/>
      <c r="S1461" s="101"/>
      <c r="T1461" s="241"/>
      <c r="U1461" s="241"/>
      <c r="V1461" s="241"/>
      <c r="W1461" s="241"/>
      <c r="X1461" s="241"/>
      <c r="Y1461" s="241"/>
      <c r="Z1461" s="241"/>
    </row>
    <row r="1462" spans="3:26" ht="16.5">
      <c r="C1462" s="101"/>
      <c r="D1462" s="101"/>
      <c r="E1462" s="101"/>
      <c r="F1462" s="101"/>
      <c r="G1462" s="101"/>
      <c r="H1462" s="101"/>
      <c r="I1462" s="101"/>
      <c r="J1462" s="101"/>
      <c r="S1462" s="101"/>
      <c r="T1462" s="241"/>
      <c r="U1462" s="241"/>
      <c r="V1462" s="241"/>
      <c r="W1462" s="241"/>
      <c r="X1462" s="241"/>
      <c r="Y1462" s="241"/>
      <c r="Z1462" s="241"/>
    </row>
    <row r="1463" spans="3:26" ht="16.5">
      <c r="C1463" s="101"/>
      <c r="D1463" s="101"/>
      <c r="E1463" s="101"/>
      <c r="F1463" s="101"/>
      <c r="G1463" s="101"/>
      <c r="H1463" s="101"/>
      <c r="I1463" s="101"/>
      <c r="J1463" s="101"/>
      <c r="S1463" s="101"/>
      <c r="T1463" s="241"/>
      <c r="U1463" s="241"/>
      <c r="V1463" s="241"/>
      <c r="W1463" s="241"/>
      <c r="X1463" s="241"/>
      <c r="Y1463" s="241"/>
      <c r="Z1463" s="241"/>
    </row>
    <row r="1464" spans="3:26" ht="16.5">
      <c r="C1464" s="101"/>
      <c r="D1464" s="101"/>
      <c r="E1464" s="101"/>
      <c r="F1464" s="101"/>
      <c r="G1464" s="101"/>
      <c r="H1464" s="101"/>
      <c r="I1464" s="101"/>
      <c r="J1464" s="101"/>
      <c r="S1464" s="101"/>
      <c r="T1464" s="241"/>
      <c r="U1464" s="241"/>
      <c r="V1464" s="241"/>
      <c r="W1464" s="241"/>
      <c r="X1464" s="241"/>
      <c r="Y1464" s="241"/>
      <c r="Z1464" s="241"/>
    </row>
    <row r="1465" spans="3:26" ht="16.5">
      <c r="C1465" s="101"/>
      <c r="D1465" s="101"/>
      <c r="E1465" s="101"/>
      <c r="F1465" s="101"/>
      <c r="G1465" s="101"/>
      <c r="H1465" s="101"/>
      <c r="I1465" s="101"/>
      <c r="J1465" s="101"/>
      <c r="S1465" s="101"/>
      <c r="T1465" s="241"/>
      <c r="U1465" s="241"/>
      <c r="V1465" s="241"/>
      <c r="W1465" s="241"/>
      <c r="X1465" s="241"/>
      <c r="Y1465" s="241"/>
      <c r="Z1465" s="241"/>
    </row>
    <row r="1466" spans="3:26" ht="16.5">
      <c r="C1466" s="101"/>
      <c r="D1466" s="101"/>
      <c r="E1466" s="101"/>
      <c r="F1466" s="101"/>
      <c r="G1466" s="101"/>
      <c r="H1466" s="101"/>
      <c r="I1466" s="101"/>
      <c r="J1466" s="101"/>
      <c r="S1466" s="101"/>
      <c r="T1466" s="241"/>
      <c r="U1466" s="241"/>
      <c r="V1466" s="241"/>
      <c r="W1466" s="241"/>
      <c r="X1466" s="241"/>
      <c r="Y1466" s="241"/>
      <c r="Z1466" s="241"/>
    </row>
    <row r="1467" spans="3:26" ht="16.5">
      <c r="C1467" s="101"/>
      <c r="D1467" s="101"/>
      <c r="E1467" s="101"/>
      <c r="F1467" s="101"/>
      <c r="G1467" s="101"/>
      <c r="H1467" s="101"/>
      <c r="I1467" s="101"/>
      <c r="J1467" s="101"/>
      <c r="S1467" s="101"/>
      <c r="T1467" s="241"/>
      <c r="U1467" s="241"/>
      <c r="V1467" s="241"/>
      <c r="W1467" s="241"/>
      <c r="X1467" s="241"/>
      <c r="Y1467" s="241"/>
      <c r="Z1467" s="241"/>
    </row>
    <row r="1468" spans="3:26" ht="16.5">
      <c r="C1468" s="101"/>
      <c r="D1468" s="101"/>
      <c r="E1468" s="101"/>
      <c r="F1468" s="101"/>
      <c r="G1468" s="101"/>
      <c r="H1468" s="101"/>
      <c r="I1468" s="101"/>
      <c r="J1468" s="101"/>
      <c r="S1468" s="101"/>
      <c r="T1468" s="241"/>
      <c r="U1468" s="241"/>
      <c r="V1468" s="241"/>
      <c r="W1468" s="241"/>
      <c r="X1468" s="241"/>
      <c r="Y1468" s="241"/>
      <c r="Z1468" s="241"/>
    </row>
    <row r="1469" spans="3:26" ht="16.5">
      <c r="C1469" s="101"/>
      <c r="D1469" s="101"/>
      <c r="E1469" s="101"/>
      <c r="F1469" s="101"/>
      <c r="G1469" s="101"/>
      <c r="H1469" s="101"/>
      <c r="I1469" s="101"/>
      <c r="J1469" s="101"/>
      <c r="S1469" s="101"/>
      <c r="T1469" s="241"/>
      <c r="U1469" s="241"/>
      <c r="V1469" s="241"/>
      <c r="W1469" s="241"/>
      <c r="X1469" s="241"/>
      <c r="Y1469" s="241"/>
      <c r="Z1469" s="241"/>
    </row>
    <row r="1470" spans="3:26" ht="16.5">
      <c r="C1470" s="101"/>
      <c r="D1470" s="101"/>
      <c r="E1470" s="101"/>
      <c r="F1470" s="101"/>
      <c r="G1470" s="101"/>
      <c r="H1470" s="101"/>
      <c r="I1470" s="101"/>
      <c r="J1470" s="101"/>
      <c r="S1470" s="101"/>
      <c r="T1470" s="241"/>
      <c r="U1470" s="241"/>
      <c r="V1470" s="241"/>
      <c r="W1470" s="241"/>
      <c r="X1470" s="241"/>
      <c r="Y1470" s="241"/>
      <c r="Z1470" s="241"/>
    </row>
    <row r="1471" spans="3:26" ht="16.5">
      <c r="C1471" s="101"/>
      <c r="D1471" s="101"/>
      <c r="E1471" s="101"/>
      <c r="F1471" s="101"/>
      <c r="G1471" s="101"/>
      <c r="H1471" s="101"/>
      <c r="I1471" s="101"/>
      <c r="J1471" s="101"/>
      <c r="S1471" s="101"/>
      <c r="T1471" s="241"/>
      <c r="U1471" s="241"/>
      <c r="V1471" s="241"/>
      <c r="W1471" s="241"/>
      <c r="X1471" s="241"/>
      <c r="Y1471" s="241"/>
      <c r="Z1471" s="241"/>
    </row>
    <row r="1472" spans="3:26" ht="16.5">
      <c r="C1472" s="101"/>
      <c r="D1472" s="101"/>
      <c r="E1472" s="101"/>
      <c r="F1472" s="101"/>
      <c r="G1472" s="101"/>
      <c r="H1472" s="101"/>
      <c r="I1472" s="101"/>
      <c r="J1472" s="101"/>
      <c r="S1472" s="101"/>
      <c r="T1472" s="241"/>
      <c r="U1472" s="241"/>
      <c r="V1472" s="241"/>
      <c r="W1472" s="241"/>
      <c r="X1472" s="241"/>
      <c r="Y1472" s="241"/>
      <c r="Z1472" s="241"/>
    </row>
    <row r="1473" spans="3:26" ht="16.5">
      <c r="C1473" s="101"/>
      <c r="D1473" s="101"/>
      <c r="E1473" s="101"/>
      <c r="F1473" s="101"/>
      <c r="G1473" s="101"/>
      <c r="H1473" s="101"/>
      <c r="I1473" s="101"/>
      <c r="J1473" s="101"/>
      <c r="S1473" s="101"/>
      <c r="T1473" s="241"/>
      <c r="U1473" s="241"/>
      <c r="V1473" s="241"/>
      <c r="W1473" s="241"/>
      <c r="X1473" s="241"/>
      <c r="Y1473" s="241"/>
      <c r="Z1473" s="241"/>
    </row>
    <row r="1474" spans="3:26" ht="16.5">
      <c r="C1474" s="101"/>
      <c r="D1474" s="101"/>
      <c r="E1474" s="101"/>
      <c r="F1474" s="101"/>
      <c r="G1474" s="101"/>
      <c r="H1474" s="101"/>
      <c r="I1474" s="101"/>
      <c r="J1474" s="101"/>
      <c r="S1474" s="101"/>
      <c r="T1474" s="241"/>
      <c r="U1474" s="241"/>
      <c r="V1474" s="241"/>
      <c r="W1474" s="241"/>
      <c r="X1474" s="241"/>
      <c r="Y1474" s="241"/>
      <c r="Z1474" s="241"/>
    </row>
    <row r="1475" spans="3:26" ht="16.5">
      <c r="C1475" s="101"/>
      <c r="D1475" s="101"/>
      <c r="E1475" s="101"/>
      <c r="F1475" s="101"/>
      <c r="G1475" s="101"/>
      <c r="H1475" s="101"/>
      <c r="I1475" s="101"/>
      <c r="J1475" s="101"/>
      <c r="S1475" s="101"/>
      <c r="T1475" s="241"/>
      <c r="U1475" s="241"/>
      <c r="V1475" s="241"/>
      <c r="W1475" s="241"/>
      <c r="X1475" s="241"/>
      <c r="Y1475" s="241"/>
      <c r="Z1475" s="241"/>
    </row>
    <row r="1476" spans="3:26" ht="16.5">
      <c r="C1476" s="101"/>
      <c r="D1476" s="101"/>
      <c r="E1476" s="101"/>
      <c r="F1476" s="101"/>
      <c r="G1476" s="101"/>
      <c r="H1476" s="101"/>
      <c r="I1476" s="101"/>
      <c r="J1476" s="101"/>
      <c r="S1476" s="101"/>
      <c r="T1476" s="241"/>
      <c r="U1476" s="241"/>
      <c r="V1476" s="241"/>
      <c r="W1476" s="241"/>
      <c r="X1476" s="241"/>
      <c r="Y1476" s="241"/>
      <c r="Z1476" s="241"/>
    </row>
    <row r="1477" spans="3:26" ht="16.5">
      <c r="C1477" s="101"/>
      <c r="D1477" s="101"/>
      <c r="E1477" s="101"/>
      <c r="F1477" s="101"/>
      <c r="G1477" s="101"/>
      <c r="H1477" s="101"/>
      <c r="I1477" s="101"/>
      <c r="J1477" s="101"/>
      <c r="S1477" s="101"/>
      <c r="T1477" s="241"/>
      <c r="U1477" s="241"/>
      <c r="V1477" s="241"/>
      <c r="W1477" s="241"/>
      <c r="X1477" s="241"/>
      <c r="Y1477" s="241"/>
      <c r="Z1477" s="241"/>
    </row>
    <row r="1478" spans="3:26" ht="16.5">
      <c r="C1478" s="101"/>
      <c r="D1478" s="101"/>
      <c r="E1478" s="101"/>
      <c r="F1478" s="101"/>
      <c r="G1478" s="101"/>
      <c r="H1478" s="101"/>
      <c r="I1478" s="101"/>
      <c r="J1478" s="101"/>
      <c r="S1478" s="101"/>
      <c r="T1478" s="241"/>
      <c r="U1478" s="241"/>
      <c r="V1478" s="241"/>
      <c r="W1478" s="241"/>
      <c r="X1478" s="241"/>
      <c r="Y1478" s="241"/>
      <c r="Z1478" s="241"/>
    </row>
    <row r="1479" spans="3:26" ht="16.5">
      <c r="C1479" s="101"/>
      <c r="D1479" s="101"/>
      <c r="E1479" s="101"/>
      <c r="F1479" s="101"/>
      <c r="G1479" s="101"/>
      <c r="H1479" s="101"/>
      <c r="I1479" s="101"/>
      <c r="J1479" s="101"/>
      <c r="S1479" s="101"/>
      <c r="T1479" s="241"/>
      <c r="U1479" s="241"/>
      <c r="V1479" s="241"/>
      <c r="W1479" s="241"/>
      <c r="X1479" s="241"/>
      <c r="Y1479" s="241"/>
      <c r="Z1479" s="241"/>
    </row>
    <row r="1480" spans="3:26" ht="16.5">
      <c r="C1480" s="101"/>
      <c r="D1480" s="101"/>
      <c r="E1480" s="101"/>
      <c r="F1480" s="101"/>
      <c r="G1480" s="101"/>
      <c r="H1480" s="101"/>
      <c r="I1480" s="101"/>
      <c r="J1480" s="101"/>
      <c r="S1480" s="101"/>
      <c r="T1480" s="241"/>
      <c r="U1480" s="241"/>
      <c r="V1480" s="241"/>
      <c r="W1480" s="241"/>
      <c r="X1480" s="241"/>
      <c r="Y1480" s="241"/>
      <c r="Z1480" s="241"/>
    </row>
    <row r="1481" spans="3:26" ht="16.5">
      <c r="C1481" s="101"/>
      <c r="D1481" s="101"/>
      <c r="E1481" s="101"/>
      <c r="F1481" s="101"/>
      <c r="G1481" s="101"/>
      <c r="H1481" s="101"/>
      <c r="I1481" s="101"/>
      <c r="J1481" s="101"/>
      <c r="S1481" s="101"/>
      <c r="T1481" s="241"/>
      <c r="U1481" s="241"/>
      <c r="V1481" s="241"/>
      <c r="W1481" s="241"/>
      <c r="X1481" s="241"/>
      <c r="Y1481" s="241"/>
      <c r="Z1481" s="241"/>
    </row>
    <row r="1482" spans="3:26" ht="16.5">
      <c r="C1482" s="101"/>
      <c r="D1482" s="101"/>
      <c r="E1482" s="101"/>
      <c r="F1482" s="101"/>
      <c r="G1482" s="101"/>
      <c r="H1482" s="101"/>
      <c r="I1482" s="101"/>
      <c r="J1482" s="101"/>
      <c r="S1482" s="101"/>
      <c r="T1482" s="241"/>
      <c r="U1482" s="241"/>
      <c r="V1482" s="241"/>
      <c r="W1482" s="241"/>
      <c r="X1482" s="241"/>
      <c r="Y1482" s="241"/>
      <c r="Z1482" s="241"/>
    </row>
    <row r="1483" spans="3:26" ht="16.5">
      <c r="C1483" s="101"/>
      <c r="D1483" s="101"/>
      <c r="E1483" s="101"/>
      <c r="F1483" s="101"/>
      <c r="G1483" s="101"/>
      <c r="H1483" s="101"/>
      <c r="I1483" s="101"/>
      <c r="J1483" s="101"/>
      <c r="S1483" s="101"/>
      <c r="T1483" s="241"/>
      <c r="U1483" s="241"/>
      <c r="V1483" s="241"/>
      <c r="W1483" s="241"/>
      <c r="X1483" s="241"/>
      <c r="Y1483" s="241"/>
      <c r="Z1483" s="241"/>
    </row>
    <row r="1484" spans="3:26" ht="16.5">
      <c r="C1484" s="101"/>
      <c r="D1484" s="101"/>
      <c r="E1484" s="101"/>
      <c r="F1484" s="101"/>
      <c r="G1484" s="101"/>
      <c r="H1484" s="101"/>
      <c r="I1484" s="101"/>
      <c r="J1484" s="101"/>
      <c r="S1484" s="101"/>
      <c r="T1484" s="241"/>
      <c r="U1484" s="241"/>
      <c r="V1484" s="241"/>
      <c r="W1484" s="241"/>
      <c r="X1484" s="241"/>
      <c r="Y1484" s="241"/>
      <c r="Z1484" s="241"/>
    </row>
    <row r="1485" spans="3:26" ht="16.5">
      <c r="C1485" s="101"/>
      <c r="D1485" s="101"/>
      <c r="E1485" s="101"/>
      <c r="F1485" s="101"/>
      <c r="G1485" s="101"/>
      <c r="H1485" s="101"/>
      <c r="I1485" s="101"/>
      <c r="J1485" s="101"/>
      <c r="S1485" s="101"/>
      <c r="T1485" s="241"/>
      <c r="U1485" s="241"/>
      <c r="V1485" s="241"/>
      <c r="W1485" s="241"/>
      <c r="X1485" s="241"/>
      <c r="Y1485" s="241"/>
      <c r="Z1485" s="241"/>
    </row>
    <row r="1486" spans="3:26" ht="16.5">
      <c r="C1486" s="101"/>
      <c r="D1486" s="101"/>
      <c r="E1486" s="101"/>
      <c r="F1486" s="101"/>
      <c r="G1486" s="101"/>
      <c r="H1486" s="101"/>
      <c r="I1486" s="101"/>
      <c r="J1486" s="101"/>
      <c r="S1486" s="101"/>
      <c r="T1486" s="241"/>
      <c r="U1486" s="241"/>
      <c r="V1486" s="241"/>
      <c r="W1486" s="241"/>
      <c r="X1486" s="241"/>
      <c r="Y1486" s="241"/>
      <c r="Z1486" s="241"/>
    </row>
    <row r="1487" spans="3:26" ht="16.5">
      <c r="C1487" s="101"/>
      <c r="D1487" s="101"/>
      <c r="E1487" s="101"/>
      <c r="F1487" s="101"/>
      <c r="G1487" s="101"/>
      <c r="H1487" s="101"/>
      <c r="I1487" s="101"/>
      <c r="J1487" s="101"/>
      <c r="S1487" s="101"/>
      <c r="T1487" s="241"/>
      <c r="U1487" s="241"/>
      <c r="V1487" s="241"/>
      <c r="W1487" s="241"/>
      <c r="X1487" s="241"/>
      <c r="Y1487" s="241"/>
      <c r="Z1487" s="241"/>
    </row>
    <row r="1488" spans="3:26" ht="16.5">
      <c r="C1488" s="101"/>
      <c r="D1488" s="101"/>
      <c r="E1488" s="101"/>
      <c r="F1488" s="101"/>
      <c r="G1488" s="101"/>
      <c r="H1488" s="101"/>
      <c r="I1488" s="101"/>
      <c r="J1488" s="101"/>
      <c r="S1488" s="101"/>
      <c r="T1488" s="241"/>
      <c r="U1488" s="241"/>
      <c r="V1488" s="241"/>
      <c r="W1488" s="241"/>
      <c r="X1488" s="241"/>
      <c r="Y1488" s="241"/>
      <c r="Z1488" s="241"/>
    </row>
    <row r="1489" spans="3:26" ht="16.5">
      <c r="C1489" s="101"/>
      <c r="D1489" s="101"/>
      <c r="E1489" s="101"/>
      <c r="F1489" s="101"/>
      <c r="G1489" s="101"/>
      <c r="H1489" s="101"/>
      <c r="I1489" s="101"/>
      <c r="J1489" s="101"/>
      <c r="S1489" s="101"/>
      <c r="T1489" s="241"/>
      <c r="U1489" s="241"/>
      <c r="V1489" s="241"/>
      <c r="W1489" s="241"/>
      <c r="X1489" s="241"/>
      <c r="Y1489" s="241"/>
      <c r="Z1489" s="241"/>
    </row>
    <row r="1490" spans="3:26" ht="16.5">
      <c r="C1490" s="101"/>
      <c r="D1490" s="101"/>
      <c r="E1490" s="101"/>
      <c r="F1490" s="101"/>
      <c r="G1490" s="101"/>
      <c r="H1490" s="101"/>
      <c r="I1490" s="101"/>
      <c r="J1490" s="101"/>
      <c r="S1490" s="101"/>
      <c r="T1490" s="241"/>
      <c r="U1490" s="241"/>
      <c r="V1490" s="241"/>
      <c r="W1490" s="241"/>
      <c r="X1490" s="241"/>
      <c r="Y1490" s="241"/>
      <c r="Z1490" s="241"/>
    </row>
    <row r="1491" spans="3:26" ht="16.5">
      <c r="C1491" s="101"/>
      <c r="D1491" s="101"/>
      <c r="E1491" s="101"/>
      <c r="F1491" s="101"/>
      <c r="G1491" s="101"/>
      <c r="H1491" s="101"/>
      <c r="I1491" s="101"/>
      <c r="J1491" s="101"/>
      <c r="S1491" s="101"/>
      <c r="T1491" s="241"/>
      <c r="U1491" s="241"/>
      <c r="V1491" s="241"/>
      <c r="W1491" s="241"/>
      <c r="X1491" s="241"/>
      <c r="Y1491" s="241"/>
      <c r="Z1491" s="241"/>
    </row>
    <row r="1492" spans="3:26" ht="16.5">
      <c r="C1492" s="101"/>
      <c r="D1492" s="101"/>
      <c r="E1492" s="101"/>
      <c r="F1492" s="101"/>
      <c r="G1492" s="101"/>
      <c r="H1492" s="101"/>
      <c r="I1492" s="101"/>
      <c r="J1492" s="101"/>
      <c r="S1492" s="101"/>
      <c r="T1492" s="241"/>
      <c r="U1492" s="241"/>
      <c r="V1492" s="241"/>
      <c r="W1492" s="241"/>
      <c r="X1492" s="241"/>
      <c r="Y1492" s="241"/>
      <c r="Z1492" s="241"/>
    </row>
    <row r="1493" spans="3:26" ht="16.5">
      <c r="C1493" s="101"/>
      <c r="D1493" s="101"/>
      <c r="E1493" s="101"/>
      <c r="F1493" s="101"/>
      <c r="G1493" s="101"/>
      <c r="H1493" s="101"/>
      <c r="I1493" s="101"/>
      <c r="J1493" s="101"/>
      <c r="S1493" s="101"/>
      <c r="T1493" s="241"/>
      <c r="U1493" s="241"/>
      <c r="V1493" s="241"/>
      <c r="W1493" s="241"/>
      <c r="X1493" s="241"/>
      <c r="Y1493" s="241"/>
      <c r="Z1493" s="241"/>
    </row>
    <row r="1494" spans="3:26" ht="16.5">
      <c r="C1494" s="101"/>
      <c r="D1494" s="101"/>
      <c r="E1494" s="101"/>
      <c r="F1494" s="101"/>
      <c r="G1494" s="101"/>
      <c r="H1494" s="101"/>
      <c r="I1494" s="101"/>
      <c r="J1494" s="101"/>
      <c r="S1494" s="101"/>
      <c r="T1494" s="241"/>
      <c r="U1494" s="241"/>
      <c r="V1494" s="241"/>
      <c r="W1494" s="241"/>
      <c r="X1494" s="241"/>
      <c r="Y1494" s="241"/>
      <c r="Z1494" s="241"/>
    </row>
    <row r="1495" spans="3:26" ht="16.5">
      <c r="C1495" s="101"/>
      <c r="D1495" s="101"/>
      <c r="E1495" s="101"/>
      <c r="F1495" s="101"/>
      <c r="G1495" s="101"/>
      <c r="H1495" s="101"/>
      <c r="I1495" s="101"/>
      <c r="J1495" s="101"/>
      <c r="S1495" s="101"/>
      <c r="T1495" s="241"/>
      <c r="U1495" s="241"/>
      <c r="V1495" s="241"/>
      <c r="W1495" s="241"/>
      <c r="X1495" s="241"/>
      <c r="Y1495" s="241"/>
      <c r="Z1495" s="241"/>
    </row>
    <row r="1496" spans="3:26" ht="16.5">
      <c r="C1496" s="101"/>
      <c r="D1496" s="101"/>
      <c r="E1496" s="101"/>
      <c r="F1496" s="101"/>
      <c r="G1496" s="101"/>
      <c r="H1496" s="101"/>
      <c r="I1496" s="101"/>
      <c r="J1496" s="101"/>
      <c r="S1496" s="101"/>
      <c r="T1496" s="241"/>
      <c r="U1496" s="241"/>
      <c r="V1496" s="241"/>
      <c r="W1496" s="241"/>
      <c r="X1496" s="241"/>
      <c r="Y1496" s="241"/>
      <c r="Z1496" s="241"/>
    </row>
    <row r="1497" spans="3:26" ht="16.5">
      <c r="C1497" s="101"/>
      <c r="D1497" s="101"/>
      <c r="E1497" s="101"/>
      <c r="F1497" s="101"/>
      <c r="G1497" s="101"/>
      <c r="H1497" s="101"/>
      <c r="I1497" s="101"/>
      <c r="J1497" s="101"/>
      <c r="S1497" s="101"/>
      <c r="T1497" s="241"/>
      <c r="U1497" s="241"/>
      <c r="V1497" s="241"/>
      <c r="W1497" s="241"/>
      <c r="X1497" s="241"/>
      <c r="Y1497" s="241"/>
      <c r="Z1497" s="241"/>
    </row>
    <row r="1498" spans="3:26" ht="16.5">
      <c r="C1498" s="101"/>
      <c r="D1498" s="101"/>
      <c r="E1498" s="101"/>
      <c r="F1498" s="101"/>
      <c r="G1498" s="101"/>
      <c r="H1498" s="101"/>
      <c r="I1498" s="101"/>
      <c r="J1498" s="101"/>
      <c r="S1498" s="101"/>
      <c r="T1498" s="241"/>
      <c r="U1498" s="241"/>
      <c r="V1498" s="241"/>
      <c r="W1498" s="241"/>
      <c r="X1498" s="241"/>
      <c r="Y1498" s="241"/>
      <c r="Z1498" s="241"/>
    </row>
    <row r="1499" spans="3:26" ht="16.5">
      <c r="C1499" s="101"/>
      <c r="D1499" s="101"/>
      <c r="E1499" s="101"/>
      <c r="F1499" s="101"/>
      <c r="G1499" s="101"/>
      <c r="H1499" s="101"/>
      <c r="I1499" s="101"/>
      <c r="J1499" s="101"/>
      <c r="S1499" s="101"/>
      <c r="T1499" s="241"/>
      <c r="U1499" s="241"/>
      <c r="V1499" s="241"/>
      <c r="W1499" s="241"/>
      <c r="X1499" s="241"/>
      <c r="Y1499" s="241"/>
      <c r="Z1499" s="241"/>
    </row>
    <row r="1500" spans="3:26" ht="16.5">
      <c r="C1500" s="101"/>
      <c r="D1500" s="101"/>
      <c r="E1500" s="101"/>
      <c r="F1500" s="101"/>
      <c r="G1500" s="101"/>
      <c r="H1500" s="101"/>
      <c r="I1500" s="101"/>
      <c r="J1500" s="101"/>
      <c r="S1500" s="101"/>
      <c r="T1500" s="241"/>
      <c r="U1500" s="241"/>
      <c r="V1500" s="241"/>
      <c r="W1500" s="241"/>
      <c r="X1500" s="241"/>
      <c r="Y1500" s="241"/>
      <c r="Z1500" s="241"/>
    </row>
    <row r="1501" spans="3:26" ht="16.5">
      <c r="C1501" s="101"/>
      <c r="D1501" s="101"/>
      <c r="E1501" s="101"/>
      <c r="F1501" s="101"/>
      <c r="G1501" s="101"/>
      <c r="H1501" s="101"/>
      <c r="I1501" s="101"/>
      <c r="J1501" s="101"/>
      <c r="S1501" s="101"/>
      <c r="T1501" s="241"/>
      <c r="U1501" s="241"/>
      <c r="V1501" s="241"/>
      <c r="W1501" s="241"/>
      <c r="X1501" s="241"/>
      <c r="Y1501" s="241"/>
      <c r="Z1501" s="241"/>
    </row>
    <row r="1502" spans="3:26" ht="16.5">
      <c r="C1502" s="101"/>
      <c r="D1502" s="101"/>
      <c r="E1502" s="101"/>
      <c r="F1502" s="101"/>
      <c r="G1502" s="101"/>
      <c r="H1502" s="101"/>
      <c r="I1502" s="101"/>
      <c r="J1502" s="101"/>
      <c r="S1502" s="101"/>
      <c r="T1502" s="241"/>
      <c r="U1502" s="241"/>
      <c r="V1502" s="241"/>
      <c r="W1502" s="241"/>
      <c r="X1502" s="241"/>
      <c r="Y1502" s="241"/>
      <c r="Z1502" s="241"/>
    </row>
    <row r="1503" spans="3:26" ht="16.5">
      <c r="C1503" s="101"/>
      <c r="D1503" s="101"/>
      <c r="E1503" s="101"/>
      <c r="F1503" s="101"/>
      <c r="G1503" s="101"/>
      <c r="H1503" s="101"/>
      <c r="I1503" s="101"/>
      <c r="J1503" s="101"/>
      <c r="S1503" s="101"/>
      <c r="T1503" s="241"/>
      <c r="U1503" s="241"/>
      <c r="V1503" s="241"/>
      <c r="W1503" s="241"/>
      <c r="X1503" s="241"/>
      <c r="Y1503" s="241"/>
      <c r="Z1503" s="241"/>
    </row>
    <row r="1504" spans="3:26" ht="16.5">
      <c r="C1504" s="101"/>
      <c r="D1504" s="101"/>
      <c r="E1504" s="101"/>
      <c r="F1504" s="101"/>
      <c r="G1504" s="101"/>
      <c r="H1504" s="101"/>
      <c r="I1504" s="101"/>
      <c r="J1504" s="101"/>
      <c r="S1504" s="101"/>
      <c r="T1504" s="241"/>
      <c r="U1504" s="241"/>
      <c r="V1504" s="241"/>
      <c r="W1504" s="241"/>
      <c r="X1504" s="241"/>
      <c r="Y1504" s="241"/>
      <c r="Z1504" s="241"/>
    </row>
    <row r="1505" spans="3:26" ht="16.5">
      <c r="C1505" s="101"/>
      <c r="D1505" s="101"/>
      <c r="E1505" s="101"/>
      <c r="F1505" s="101"/>
      <c r="G1505" s="101"/>
      <c r="H1505" s="101"/>
      <c r="I1505" s="101"/>
      <c r="J1505" s="101"/>
      <c r="S1505" s="101"/>
      <c r="T1505" s="241"/>
      <c r="U1505" s="241"/>
      <c r="V1505" s="241"/>
      <c r="W1505" s="241"/>
      <c r="X1505" s="241"/>
      <c r="Y1505" s="241"/>
      <c r="Z1505" s="241"/>
    </row>
    <row r="1506" spans="3:26" ht="16.5">
      <c r="C1506" s="101"/>
      <c r="D1506" s="101"/>
      <c r="E1506" s="101"/>
      <c r="F1506" s="101"/>
      <c r="G1506" s="101"/>
      <c r="H1506" s="101"/>
      <c r="I1506" s="101"/>
      <c r="J1506" s="101"/>
      <c r="S1506" s="101"/>
      <c r="T1506" s="241"/>
      <c r="U1506" s="241"/>
      <c r="V1506" s="241"/>
      <c r="W1506" s="241"/>
      <c r="X1506" s="241"/>
      <c r="Y1506" s="241"/>
      <c r="Z1506" s="241"/>
    </row>
    <row r="1507" spans="3:26" ht="16.5">
      <c r="C1507" s="101"/>
      <c r="D1507" s="101"/>
      <c r="E1507" s="101"/>
      <c r="F1507" s="101"/>
      <c r="G1507" s="101"/>
      <c r="H1507" s="101"/>
      <c r="I1507" s="101"/>
      <c r="J1507" s="101"/>
      <c r="S1507" s="101"/>
      <c r="T1507" s="241"/>
      <c r="U1507" s="241"/>
      <c r="V1507" s="241"/>
      <c r="W1507" s="241"/>
      <c r="X1507" s="241"/>
      <c r="Y1507" s="241"/>
      <c r="Z1507" s="241"/>
    </row>
    <row r="1508" spans="3:26" ht="16.5">
      <c r="C1508" s="101"/>
      <c r="D1508" s="101"/>
      <c r="E1508" s="101"/>
      <c r="F1508" s="101"/>
      <c r="G1508" s="101"/>
      <c r="H1508" s="101"/>
      <c r="I1508" s="101"/>
      <c r="J1508" s="101"/>
      <c r="S1508" s="101"/>
      <c r="T1508" s="241"/>
      <c r="U1508" s="241"/>
      <c r="V1508" s="241"/>
      <c r="W1508" s="241"/>
      <c r="X1508" s="241"/>
      <c r="Y1508" s="241"/>
      <c r="Z1508" s="241"/>
    </row>
    <row r="1509" spans="3:26" ht="16.5">
      <c r="C1509" s="101"/>
      <c r="D1509" s="101"/>
      <c r="E1509" s="101"/>
      <c r="F1509" s="101"/>
      <c r="G1509" s="101"/>
      <c r="H1509" s="101"/>
      <c r="I1509" s="101"/>
      <c r="J1509" s="101"/>
      <c r="S1509" s="101"/>
      <c r="T1509" s="241"/>
      <c r="U1509" s="241"/>
      <c r="V1509" s="241"/>
      <c r="W1509" s="241"/>
      <c r="X1509" s="241"/>
      <c r="Y1509" s="241"/>
      <c r="Z1509" s="241"/>
    </row>
    <row r="1510" spans="3:26" ht="16.5">
      <c r="C1510" s="101"/>
      <c r="D1510" s="101"/>
      <c r="E1510" s="101"/>
      <c r="F1510" s="101"/>
      <c r="G1510" s="101"/>
      <c r="H1510" s="101"/>
      <c r="I1510" s="101"/>
      <c r="J1510" s="101"/>
      <c r="S1510" s="101"/>
      <c r="T1510" s="241"/>
      <c r="U1510" s="241"/>
      <c r="V1510" s="241"/>
      <c r="W1510" s="241"/>
      <c r="X1510" s="241"/>
      <c r="Y1510" s="241"/>
      <c r="Z1510" s="241"/>
    </row>
    <row r="1511" spans="3:26" ht="16.5">
      <c r="C1511" s="101"/>
      <c r="D1511" s="101"/>
      <c r="E1511" s="101"/>
      <c r="F1511" s="101"/>
      <c r="G1511" s="101"/>
      <c r="H1511" s="101"/>
      <c r="I1511" s="101"/>
      <c r="J1511" s="101"/>
      <c r="S1511" s="101"/>
      <c r="T1511" s="241"/>
      <c r="U1511" s="241"/>
      <c r="V1511" s="241"/>
      <c r="W1511" s="241"/>
      <c r="X1511" s="241"/>
      <c r="Y1511" s="241"/>
      <c r="Z1511" s="241"/>
    </row>
    <row r="1512" spans="3:26" ht="16.5">
      <c r="C1512" s="101"/>
      <c r="D1512" s="101"/>
      <c r="E1512" s="101"/>
      <c r="F1512" s="101"/>
      <c r="G1512" s="101"/>
      <c r="H1512" s="101"/>
      <c r="I1512" s="101"/>
      <c r="J1512" s="101"/>
      <c r="S1512" s="101"/>
      <c r="T1512" s="241"/>
      <c r="U1512" s="241"/>
      <c r="V1512" s="241"/>
      <c r="W1512" s="241"/>
      <c r="X1512" s="241"/>
      <c r="Y1512" s="241"/>
      <c r="Z1512" s="241"/>
    </row>
    <row r="1513" spans="3:26" ht="16.5">
      <c r="C1513" s="101"/>
      <c r="D1513" s="101"/>
      <c r="E1513" s="101"/>
      <c r="F1513" s="101"/>
      <c r="G1513" s="101"/>
      <c r="H1513" s="101"/>
      <c r="I1513" s="101"/>
      <c r="J1513" s="101"/>
      <c r="S1513" s="101"/>
      <c r="T1513" s="241"/>
      <c r="U1513" s="241"/>
      <c r="V1513" s="241"/>
      <c r="W1513" s="241"/>
      <c r="X1513" s="241"/>
      <c r="Y1513" s="241"/>
      <c r="Z1513" s="241"/>
    </row>
    <row r="1514" spans="3:26" ht="16.5">
      <c r="C1514" s="101"/>
      <c r="D1514" s="101"/>
      <c r="E1514" s="101"/>
      <c r="F1514" s="101"/>
      <c r="G1514" s="101"/>
      <c r="H1514" s="101"/>
      <c r="I1514" s="101"/>
      <c r="J1514" s="101"/>
      <c r="S1514" s="101"/>
      <c r="T1514" s="241"/>
      <c r="U1514" s="241"/>
      <c r="V1514" s="241"/>
      <c r="W1514" s="241"/>
      <c r="X1514" s="241"/>
      <c r="Y1514" s="241"/>
      <c r="Z1514" s="241"/>
    </row>
    <row r="1515" spans="3:26" ht="16.5">
      <c r="C1515" s="101"/>
      <c r="D1515" s="101"/>
      <c r="E1515" s="101"/>
      <c r="F1515" s="101"/>
      <c r="G1515" s="101"/>
      <c r="H1515" s="101"/>
      <c r="I1515" s="101"/>
      <c r="J1515" s="101"/>
      <c r="S1515" s="101"/>
      <c r="T1515" s="241"/>
      <c r="U1515" s="241"/>
      <c r="V1515" s="241"/>
      <c r="W1515" s="241"/>
      <c r="X1515" s="241"/>
      <c r="Y1515" s="241"/>
      <c r="Z1515" s="241"/>
    </row>
    <row r="1516" spans="3:26" ht="16.5">
      <c r="C1516" s="101"/>
      <c r="D1516" s="101"/>
      <c r="E1516" s="101"/>
      <c r="F1516" s="101"/>
      <c r="G1516" s="101"/>
      <c r="H1516" s="101"/>
      <c r="I1516" s="101"/>
      <c r="J1516" s="101"/>
      <c r="S1516" s="101"/>
      <c r="T1516" s="241"/>
      <c r="U1516" s="241"/>
      <c r="V1516" s="241"/>
      <c r="W1516" s="241"/>
      <c r="X1516" s="241"/>
      <c r="Y1516" s="241"/>
      <c r="Z1516" s="241"/>
    </row>
    <row r="1517" spans="3:26" ht="16.5">
      <c r="C1517" s="101"/>
      <c r="D1517" s="101"/>
      <c r="E1517" s="101"/>
      <c r="F1517" s="101"/>
      <c r="G1517" s="101"/>
      <c r="H1517" s="101"/>
      <c r="I1517" s="101"/>
      <c r="J1517" s="101"/>
      <c r="S1517" s="101"/>
      <c r="T1517" s="241"/>
      <c r="U1517" s="241"/>
      <c r="V1517" s="241"/>
      <c r="W1517" s="241"/>
      <c r="X1517" s="241"/>
      <c r="Y1517" s="241"/>
      <c r="Z1517" s="241"/>
    </row>
    <row r="1518" spans="3:26" ht="16.5">
      <c r="C1518" s="101"/>
      <c r="D1518" s="101"/>
      <c r="E1518" s="101"/>
      <c r="F1518" s="101"/>
      <c r="G1518" s="101"/>
      <c r="H1518" s="101"/>
      <c r="I1518" s="101"/>
      <c r="J1518" s="101"/>
      <c r="S1518" s="101"/>
      <c r="T1518" s="241"/>
      <c r="U1518" s="241"/>
      <c r="V1518" s="241"/>
      <c r="W1518" s="241"/>
      <c r="X1518" s="241"/>
      <c r="Y1518" s="241"/>
      <c r="Z1518" s="241"/>
    </row>
    <row r="1519" spans="3:26" ht="16.5">
      <c r="C1519" s="101"/>
      <c r="D1519" s="101"/>
      <c r="E1519" s="101"/>
      <c r="F1519" s="101"/>
      <c r="G1519" s="101"/>
      <c r="H1519" s="101"/>
      <c r="I1519" s="101"/>
      <c r="J1519" s="101"/>
      <c r="S1519" s="101"/>
      <c r="T1519" s="241"/>
      <c r="U1519" s="241"/>
      <c r="V1519" s="241"/>
      <c r="W1519" s="241"/>
      <c r="X1519" s="241"/>
      <c r="Y1519" s="241"/>
      <c r="Z1519" s="241"/>
    </row>
    <row r="1520" spans="3:26" ht="16.5">
      <c r="C1520" s="101"/>
      <c r="D1520" s="101"/>
      <c r="E1520" s="101"/>
      <c r="F1520" s="101"/>
      <c r="G1520" s="101"/>
      <c r="H1520" s="101"/>
      <c r="I1520" s="101"/>
      <c r="J1520" s="101"/>
      <c r="S1520" s="101"/>
      <c r="T1520" s="241"/>
      <c r="U1520" s="241"/>
      <c r="V1520" s="241"/>
      <c r="W1520" s="241"/>
      <c r="X1520" s="241"/>
      <c r="Y1520" s="241"/>
      <c r="Z1520" s="241"/>
    </row>
    <row r="1521" spans="3:26" ht="16.5">
      <c r="C1521" s="101"/>
      <c r="D1521" s="101"/>
      <c r="E1521" s="101"/>
      <c r="F1521" s="101"/>
      <c r="G1521" s="101"/>
      <c r="H1521" s="101"/>
      <c r="I1521" s="101"/>
      <c r="J1521" s="101"/>
      <c r="S1521" s="101"/>
      <c r="T1521" s="241"/>
      <c r="U1521" s="241"/>
      <c r="V1521" s="241"/>
      <c r="W1521" s="241"/>
      <c r="X1521" s="241"/>
      <c r="Y1521" s="241"/>
      <c r="Z1521" s="241"/>
    </row>
    <row r="1522" spans="3:26" ht="16.5">
      <c r="C1522" s="101"/>
      <c r="D1522" s="101"/>
      <c r="E1522" s="101"/>
      <c r="F1522" s="101"/>
      <c r="G1522" s="101"/>
      <c r="H1522" s="101"/>
      <c r="I1522" s="101"/>
      <c r="J1522" s="101"/>
      <c r="S1522" s="101"/>
      <c r="T1522" s="241"/>
      <c r="U1522" s="241"/>
      <c r="V1522" s="241"/>
      <c r="W1522" s="241"/>
      <c r="X1522" s="241"/>
      <c r="Y1522" s="241"/>
      <c r="Z1522" s="241"/>
    </row>
    <row r="1523" spans="3:26" ht="16.5">
      <c r="C1523" s="101"/>
      <c r="D1523" s="101"/>
      <c r="E1523" s="101"/>
      <c r="F1523" s="101"/>
      <c r="G1523" s="101"/>
      <c r="H1523" s="101"/>
      <c r="I1523" s="101"/>
      <c r="J1523" s="101"/>
      <c r="S1523" s="101"/>
      <c r="T1523" s="241"/>
      <c r="U1523" s="241"/>
      <c r="V1523" s="241"/>
      <c r="W1523" s="241"/>
      <c r="X1523" s="241"/>
      <c r="Y1523" s="241"/>
      <c r="Z1523" s="241"/>
    </row>
    <row r="1524" spans="3:26" ht="16.5">
      <c r="C1524" s="101"/>
      <c r="D1524" s="101"/>
      <c r="E1524" s="101"/>
      <c r="F1524" s="101"/>
      <c r="G1524" s="101"/>
      <c r="H1524" s="101"/>
      <c r="I1524" s="101"/>
      <c r="J1524" s="101"/>
      <c r="S1524" s="101"/>
      <c r="T1524" s="241"/>
      <c r="U1524" s="241"/>
      <c r="V1524" s="241"/>
      <c r="W1524" s="241"/>
      <c r="X1524" s="241"/>
      <c r="Y1524" s="241"/>
      <c r="Z1524" s="241"/>
    </row>
    <row r="1525" spans="3:26" ht="16.5">
      <c r="C1525" s="101"/>
      <c r="D1525" s="101"/>
      <c r="E1525" s="101"/>
      <c r="F1525" s="101"/>
      <c r="G1525" s="101"/>
      <c r="H1525" s="101"/>
      <c r="I1525" s="101"/>
      <c r="J1525" s="101"/>
      <c r="S1525" s="101"/>
      <c r="T1525" s="241"/>
      <c r="U1525" s="241"/>
      <c r="V1525" s="241"/>
      <c r="W1525" s="241"/>
      <c r="X1525" s="241"/>
      <c r="Y1525" s="241"/>
      <c r="Z1525" s="241"/>
    </row>
    <row r="1526" spans="3:26" ht="16.5">
      <c r="C1526" s="101"/>
      <c r="D1526" s="101"/>
      <c r="E1526" s="101"/>
      <c r="F1526" s="101"/>
      <c r="G1526" s="101"/>
      <c r="H1526" s="101"/>
      <c r="I1526" s="101"/>
      <c r="J1526" s="101"/>
      <c r="S1526" s="101"/>
      <c r="T1526" s="241"/>
      <c r="U1526" s="241"/>
      <c r="V1526" s="241"/>
      <c r="W1526" s="241"/>
      <c r="X1526" s="241"/>
      <c r="Y1526" s="241"/>
      <c r="Z1526" s="241"/>
    </row>
    <row r="1527" spans="3:26" ht="16.5">
      <c r="C1527" s="101"/>
      <c r="D1527" s="101"/>
      <c r="E1527" s="101"/>
      <c r="F1527" s="101"/>
      <c r="G1527" s="101"/>
      <c r="H1527" s="101"/>
      <c r="I1527" s="101"/>
      <c r="J1527" s="101"/>
      <c r="S1527" s="101"/>
      <c r="T1527" s="241"/>
      <c r="U1527" s="241"/>
      <c r="V1527" s="241"/>
      <c r="W1527" s="241"/>
      <c r="X1527" s="241"/>
      <c r="Y1527" s="241"/>
      <c r="Z1527" s="241"/>
    </row>
    <row r="1528" spans="3:26" ht="16.5">
      <c r="C1528" s="101"/>
      <c r="D1528" s="101"/>
      <c r="E1528" s="101"/>
      <c r="F1528" s="101"/>
      <c r="G1528" s="101"/>
      <c r="H1528" s="101"/>
      <c r="I1528" s="101"/>
      <c r="J1528" s="101"/>
      <c r="S1528" s="101"/>
      <c r="T1528" s="241"/>
      <c r="U1528" s="241"/>
      <c r="V1528" s="241"/>
      <c r="W1528" s="241"/>
      <c r="X1528" s="241"/>
      <c r="Y1528" s="241"/>
      <c r="Z1528" s="241"/>
    </row>
    <row r="1529" spans="3:26" ht="16.5">
      <c r="C1529" s="101"/>
      <c r="D1529" s="101"/>
      <c r="E1529" s="101"/>
      <c r="F1529" s="101"/>
      <c r="G1529" s="101"/>
      <c r="H1529" s="101"/>
      <c r="I1529" s="101"/>
      <c r="J1529" s="101"/>
      <c r="S1529" s="101"/>
      <c r="T1529" s="241"/>
      <c r="U1529" s="241"/>
      <c r="V1529" s="241"/>
      <c r="W1529" s="241"/>
      <c r="X1529" s="241"/>
      <c r="Y1529" s="241"/>
      <c r="Z1529" s="241"/>
    </row>
    <row r="1530" spans="3:26" ht="16.5">
      <c r="C1530" s="101"/>
      <c r="D1530" s="101"/>
      <c r="E1530" s="101"/>
      <c r="F1530" s="101"/>
      <c r="G1530" s="101"/>
      <c r="H1530" s="101"/>
      <c r="I1530" s="101"/>
      <c r="J1530" s="101"/>
      <c r="S1530" s="101"/>
      <c r="T1530" s="241"/>
      <c r="U1530" s="241"/>
      <c r="V1530" s="241"/>
      <c r="W1530" s="241"/>
      <c r="X1530" s="241"/>
      <c r="Y1530" s="241"/>
      <c r="Z1530" s="241"/>
    </row>
    <row r="1531" spans="3:26" ht="16.5">
      <c r="C1531" s="101"/>
      <c r="D1531" s="101"/>
      <c r="E1531" s="101"/>
      <c r="F1531" s="101"/>
      <c r="G1531" s="101"/>
      <c r="H1531" s="101"/>
      <c r="I1531" s="101"/>
      <c r="J1531" s="101"/>
      <c r="S1531" s="101"/>
      <c r="T1531" s="241"/>
      <c r="U1531" s="241"/>
      <c r="V1531" s="241"/>
      <c r="W1531" s="241"/>
      <c r="X1531" s="241"/>
      <c r="Y1531" s="241"/>
      <c r="Z1531" s="241"/>
    </row>
    <row r="1532" spans="3:26" ht="16.5">
      <c r="C1532" s="101"/>
      <c r="D1532" s="101"/>
      <c r="E1532" s="101"/>
      <c r="F1532" s="101"/>
      <c r="G1532" s="101"/>
      <c r="H1532" s="101"/>
      <c r="I1532" s="101"/>
      <c r="J1532" s="101"/>
      <c r="S1532" s="101"/>
      <c r="T1532" s="241"/>
      <c r="U1532" s="241"/>
      <c r="V1532" s="241"/>
      <c r="W1532" s="241"/>
      <c r="X1532" s="241"/>
      <c r="Y1532" s="241"/>
      <c r="Z1532" s="241"/>
    </row>
    <row r="1533" spans="3:26" ht="16.5">
      <c r="C1533" s="101"/>
      <c r="D1533" s="101"/>
      <c r="E1533" s="101"/>
      <c r="F1533" s="101"/>
      <c r="G1533" s="101"/>
      <c r="H1533" s="101"/>
      <c r="I1533" s="101"/>
      <c r="J1533" s="101"/>
      <c r="S1533" s="101"/>
      <c r="T1533" s="241"/>
      <c r="U1533" s="241"/>
      <c r="V1533" s="241"/>
      <c r="W1533" s="241"/>
      <c r="X1533" s="241"/>
      <c r="Y1533" s="241"/>
      <c r="Z1533" s="241"/>
    </row>
    <row r="1534" spans="3:26" ht="16.5">
      <c r="C1534" s="101"/>
      <c r="D1534" s="101"/>
      <c r="E1534" s="101"/>
      <c r="F1534" s="101"/>
      <c r="G1534" s="101"/>
      <c r="H1534" s="101"/>
      <c r="I1534" s="101"/>
      <c r="J1534" s="101"/>
      <c r="S1534" s="101"/>
      <c r="T1534" s="241"/>
      <c r="U1534" s="241"/>
      <c r="V1534" s="241"/>
      <c r="W1534" s="241"/>
      <c r="X1534" s="241"/>
      <c r="Y1534" s="241"/>
      <c r="Z1534" s="241"/>
    </row>
    <row r="1535" spans="3:26" ht="16.5">
      <c r="C1535" s="101"/>
      <c r="D1535" s="101"/>
      <c r="E1535" s="101"/>
      <c r="F1535" s="101"/>
      <c r="G1535" s="101"/>
      <c r="H1535" s="101"/>
      <c r="I1535" s="101"/>
      <c r="J1535" s="101"/>
      <c r="S1535" s="101"/>
      <c r="T1535" s="241"/>
      <c r="U1535" s="241"/>
      <c r="V1535" s="241"/>
      <c r="W1535" s="241"/>
      <c r="X1535" s="241"/>
      <c r="Y1535" s="241"/>
      <c r="Z1535" s="241"/>
    </row>
    <row r="1536" spans="3:26" ht="16.5">
      <c r="C1536" s="101"/>
      <c r="D1536" s="101"/>
      <c r="E1536" s="101"/>
      <c r="F1536" s="101"/>
      <c r="G1536" s="101"/>
      <c r="H1536" s="101"/>
      <c r="I1536" s="101"/>
      <c r="J1536" s="101"/>
      <c r="S1536" s="101"/>
      <c r="T1536" s="241"/>
      <c r="U1536" s="241"/>
      <c r="V1536" s="241"/>
      <c r="W1536" s="241"/>
      <c r="X1536" s="241"/>
      <c r="Y1536" s="241"/>
      <c r="Z1536" s="241"/>
    </row>
    <row r="1537" spans="3:26" ht="16.5">
      <c r="C1537" s="101"/>
      <c r="D1537" s="101"/>
      <c r="E1537" s="101"/>
      <c r="F1537" s="101"/>
      <c r="G1537" s="101"/>
      <c r="H1537" s="101"/>
      <c r="I1537" s="101"/>
      <c r="J1537" s="101"/>
      <c r="S1537" s="101"/>
      <c r="T1537" s="241"/>
      <c r="U1537" s="241"/>
      <c r="V1537" s="241"/>
      <c r="W1537" s="241"/>
      <c r="X1537" s="241"/>
      <c r="Y1537" s="241"/>
      <c r="Z1537" s="241"/>
    </row>
    <row r="1538" spans="3:26" ht="16.5">
      <c r="C1538" s="101"/>
      <c r="D1538" s="101"/>
      <c r="E1538" s="101"/>
      <c r="F1538" s="101"/>
      <c r="G1538" s="101"/>
      <c r="H1538" s="101"/>
      <c r="I1538" s="101"/>
      <c r="J1538" s="101"/>
      <c r="S1538" s="101"/>
      <c r="T1538" s="241"/>
      <c r="U1538" s="241"/>
      <c r="V1538" s="241"/>
      <c r="W1538" s="241"/>
      <c r="X1538" s="241"/>
      <c r="Y1538" s="241"/>
      <c r="Z1538" s="241"/>
    </row>
    <row r="1539" spans="3:26" ht="16.5">
      <c r="C1539" s="101"/>
      <c r="D1539" s="101"/>
      <c r="E1539" s="101"/>
      <c r="F1539" s="101"/>
      <c r="G1539" s="101"/>
      <c r="H1539" s="101"/>
      <c r="I1539" s="101"/>
      <c r="J1539" s="101"/>
      <c r="S1539" s="101"/>
      <c r="T1539" s="241"/>
      <c r="U1539" s="241"/>
      <c r="V1539" s="241"/>
      <c r="W1539" s="241"/>
      <c r="X1539" s="241"/>
      <c r="Y1539" s="241"/>
      <c r="Z1539" s="241"/>
    </row>
    <row r="1540" spans="3:26" ht="16.5">
      <c r="C1540" s="101"/>
      <c r="D1540" s="101"/>
      <c r="E1540" s="101"/>
      <c r="F1540" s="101"/>
      <c r="G1540" s="101"/>
      <c r="H1540" s="101"/>
      <c r="I1540" s="101"/>
      <c r="J1540" s="101"/>
      <c r="S1540" s="101"/>
      <c r="T1540" s="241"/>
      <c r="U1540" s="241"/>
      <c r="V1540" s="241"/>
      <c r="W1540" s="241"/>
      <c r="X1540" s="241"/>
      <c r="Y1540" s="241"/>
      <c r="Z1540" s="241"/>
    </row>
    <row r="1541" spans="3:26" ht="16.5">
      <c r="C1541" s="101"/>
      <c r="D1541" s="101"/>
      <c r="E1541" s="101"/>
      <c r="F1541" s="101"/>
      <c r="G1541" s="101"/>
      <c r="H1541" s="101"/>
      <c r="I1541" s="101"/>
      <c r="J1541" s="101"/>
      <c r="S1541" s="101"/>
      <c r="T1541" s="241"/>
      <c r="U1541" s="241"/>
      <c r="V1541" s="241"/>
      <c r="W1541" s="241"/>
      <c r="X1541" s="241"/>
      <c r="Y1541" s="241"/>
      <c r="Z1541" s="241"/>
    </row>
    <row r="1542" spans="3:26" ht="16.5">
      <c r="C1542" s="101"/>
      <c r="D1542" s="101"/>
      <c r="E1542" s="101"/>
      <c r="F1542" s="101"/>
      <c r="G1542" s="101"/>
      <c r="H1542" s="101"/>
      <c r="I1542" s="101"/>
      <c r="J1542" s="101"/>
      <c r="S1542" s="101"/>
      <c r="T1542" s="241"/>
      <c r="U1542" s="241"/>
      <c r="V1542" s="241"/>
      <c r="W1542" s="241"/>
      <c r="X1542" s="241"/>
      <c r="Y1542" s="241"/>
      <c r="Z1542" s="241"/>
    </row>
    <row r="1543" spans="3:26" ht="16.5">
      <c r="C1543" s="101"/>
      <c r="D1543" s="101"/>
      <c r="E1543" s="101"/>
      <c r="F1543" s="101"/>
      <c r="G1543" s="101"/>
      <c r="H1543" s="101"/>
      <c r="I1543" s="101"/>
      <c r="J1543" s="101"/>
      <c r="S1543" s="101"/>
      <c r="T1543" s="241"/>
      <c r="U1543" s="241"/>
      <c r="V1543" s="241"/>
      <c r="W1543" s="241"/>
      <c r="X1543" s="241"/>
      <c r="Y1543" s="241"/>
      <c r="Z1543" s="241"/>
    </row>
    <row r="1544" spans="3:26" ht="16.5">
      <c r="C1544" s="101"/>
      <c r="D1544" s="101"/>
      <c r="E1544" s="101"/>
      <c r="F1544" s="101"/>
      <c r="G1544" s="101"/>
      <c r="H1544" s="101"/>
      <c r="I1544" s="101"/>
      <c r="J1544" s="101"/>
      <c r="S1544" s="101"/>
      <c r="T1544" s="241"/>
      <c r="U1544" s="241"/>
      <c r="V1544" s="241"/>
      <c r="W1544" s="241"/>
      <c r="X1544" s="241"/>
      <c r="Y1544" s="241"/>
      <c r="Z1544" s="241"/>
    </row>
    <row r="1545" spans="3:26" ht="16.5">
      <c r="C1545" s="101"/>
      <c r="D1545" s="101"/>
      <c r="E1545" s="101"/>
      <c r="F1545" s="101"/>
      <c r="G1545" s="101"/>
      <c r="H1545" s="101"/>
      <c r="I1545" s="101"/>
      <c r="J1545" s="101"/>
      <c r="S1545" s="101"/>
      <c r="T1545" s="241"/>
      <c r="U1545" s="241"/>
      <c r="V1545" s="241"/>
      <c r="W1545" s="241"/>
      <c r="X1545" s="241"/>
      <c r="Y1545" s="241"/>
      <c r="Z1545" s="241"/>
    </row>
    <row r="1546" spans="3:26" ht="16.5">
      <c r="C1546" s="101"/>
      <c r="D1546" s="101"/>
      <c r="E1546" s="101"/>
      <c r="F1546" s="101"/>
      <c r="G1546" s="101"/>
      <c r="H1546" s="101"/>
      <c r="I1546" s="101"/>
      <c r="J1546" s="101"/>
      <c r="S1546" s="101"/>
      <c r="T1546" s="241"/>
      <c r="U1546" s="241"/>
      <c r="V1546" s="241"/>
      <c r="W1546" s="241"/>
      <c r="X1546" s="241"/>
      <c r="Y1546" s="241"/>
      <c r="Z1546" s="241"/>
    </row>
    <row r="1547" spans="3:26" ht="16.5">
      <c r="C1547" s="101"/>
      <c r="D1547" s="101"/>
      <c r="E1547" s="101"/>
      <c r="F1547" s="101"/>
      <c r="G1547" s="101"/>
      <c r="H1547" s="101"/>
      <c r="I1547" s="101"/>
      <c r="J1547" s="101"/>
      <c r="S1547" s="101"/>
      <c r="T1547" s="241"/>
      <c r="U1547" s="241"/>
      <c r="V1547" s="241"/>
      <c r="W1547" s="241"/>
      <c r="X1547" s="241"/>
      <c r="Y1547" s="241"/>
      <c r="Z1547" s="241"/>
    </row>
    <row r="1548" spans="3:26" ht="16.5">
      <c r="C1548" s="101"/>
      <c r="D1548" s="101"/>
      <c r="E1548" s="101"/>
      <c r="F1548" s="101"/>
      <c r="G1548" s="101"/>
      <c r="H1548" s="101"/>
      <c r="I1548" s="101"/>
      <c r="J1548" s="101"/>
      <c r="S1548" s="101"/>
      <c r="T1548" s="241"/>
      <c r="U1548" s="241"/>
      <c r="V1548" s="241"/>
      <c r="W1548" s="241"/>
      <c r="X1548" s="241"/>
      <c r="Y1548" s="241"/>
      <c r="Z1548" s="241"/>
    </row>
    <row r="1549" spans="3:26" ht="16.5">
      <c r="C1549" s="101"/>
      <c r="D1549" s="101"/>
      <c r="E1549" s="101"/>
      <c r="F1549" s="101"/>
      <c r="G1549" s="101"/>
      <c r="H1549" s="101"/>
      <c r="I1549" s="101"/>
      <c r="J1549" s="101"/>
      <c r="S1549" s="101"/>
      <c r="T1549" s="241"/>
      <c r="U1549" s="241"/>
      <c r="V1549" s="241"/>
      <c r="W1549" s="241"/>
      <c r="X1549" s="241"/>
      <c r="Y1549" s="241"/>
      <c r="Z1549" s="241"/>
    </row>
    <row r="1550" spans="3:26" ht="16.5">
      <c r="C1550" s="101"/>
      <c r="D1550" s="101"/>
      <c r="E1550" s="101"/>
      <c r="F1550" s="101"/>
      <c r="G1550" s="101"/>
      <c r="H1550" s="101"/>
      <c r="I1550" s="101"/>
      <c r="J1550" s="101"/>
      <c r="S1550" s="101"/>
      <c r="T1550" s="241"/>
      <c r="U1550" s="241"/>
      <c r="V1550" s="241"/>
      <c r="W1550" s="241"/>
      <c r="X1550" s="241"/>
      <c r="Y1550" s="241"/>
      <c r="Z1550" s="241"/>
    </row>
    <row r="1551" spans="3:26" ht="16.5">
      <c r="C1551" s="101"/>
      <c r="D1551" s="101"/>
      <c r="E1551" s="101"/>
      <c r="F1551" s="101"/>
      <c r="G1551" s="101"/>
      <c r="H1551" s="101"/>
      <c r="I1551" s="101"/>
      <c r="J1551" s="101"/>
      <c r="S1551" s="101"/>
      <c r="T1551" s="241"/>
      <c r="U1551" s="241"/>
      <c r="V1551" s="241"/>
      <c r="W1551" s="241"/>
      <c r="X1551" s="241"/>
      <c r="Y1551" s="241"/>
      <c r="Z1551" s="241"/>
    </row>
    <row r="1552" spans="3:26" ht="16.5">
      <c r="C1552" s="101"/>
      <c r="D1552" s="101"/>
      <c r="E1552" s="101"/>
      <c r="F1552" s="101"/>
      <c r="G1552" s="101"/>
      <c r="H1552" s="101"/>
      <c r="I1552" s="101"/>
      <c r="J1552" s="101"/>
      <c r="S1552" s="101"/>
      <c r="T1552" s="241"/>
      <c r="U1552" s="241"/>
      <c r="V1552" s="241"/>
      <c r="W1552" s="241"/>
      <c r="X1552" s="241"/>
      <c r="Y1552" s="241"/>
      <c r="Z1552" s="241"/>
    </row>
    <row r="1553" spans="3:26" ht="16.5">
      <c r="C1553" s="101"/>
      <c r="D1553" s="101"/>
      <c r="E1553" s="101"/>
      <c r="F1553" s="101"/>
      <c r="G1553" s="101"/>
      <c r="H1553" s="101"/>
      <c r="I1553" s="101"/>
      <c r="J1553" s="101"/>
      <c r="S1553" s="101"/>
      <c r="T1553" s="241"/>
      <c r="U1553" s="241"/>
      <c r="V1553" s="241"/>
      <c r="W1553" s="241"/>
      <c r="X1553" s="241"/>
      <c r="Y1553" s="241"/>
      <c r="Z1553" s="241"/>
    </row>
    <row r="1554" spans="3:26" ht="16.5">
      <c r="C1554" s="101"/>
      <c r="D1554" s="101"/>
      <c r="E1554" s="101"/>
      <c r="F1554" s="101"/>
      <c r="G1554" s="101"/>
      <c r="H1554" s="101"/>
      <c r="I1554" s="101"/>
      <c r="J1554" s="101"/>
      <c r="S1554" s="101"/>
      <c r="T1554" s="241"/>
      <c r="U1554" s="241"/>
      <c r="V1554" s="241"/>
      <c r="W1554" s="241"/>
      <c r="X1554" s="241"/>
      <c r="Y1554" s="241"/>
      <c r="Z1554" s="241"/>
    </row>
    <row r="1555" spans="3:26" ht="16.5">
      <c r="C1555" s="101"/>
      <c r="D1555" s="101"/>
      <c r="E1555" s="101"/>
      <c r="F1555" s="101"/>
      <c r="G1555" s="101"/>
      <c r="H1555" s="101"/>
      <c r="I1555" s="101"/>
      <c r="J1555" s="101"/>
      <c r="S1555" s="101"/>
      <c r="T1555" s="241"/>
      <c r="U1555" s="241"/>
      <c r="V1555" s="241"/>
      <c r="W1555" s="241"/>
      <c r="X1555" s="241"/>
      <c r="Y1555" s="241"/>
      <c r="Z1555" s="241"/>
    </row>
    <row r="1556" spans="3:26" ht="16.5">
      <c r="C1556" s="101"/>
      <c r="D1556" s="101"/>
      <c r="E1556" s="101"/>
      <c r="F1556" s="101"/>
      <c r="G1556" s="101"/>
      <c r="H1556" s="101"/>
      <c r="I1556" s="101"/>
      <c r="J1556" s="101"/>
      <c r="S1556" s="101"/>
      <c r="T1556" s="241"/>
      <c r="U1556" s="241"/>
      <c r="V1556" s="241"/>
      <c r="W1556" s="241"/>
      <c r="X1556" s="241"/>
      <c r="Y1556" s="241"/>
      <c r="Z1556" s="241"/>
    </row>
    <row r="1557" spans="3:26" ht="16.5">
      <c r="C1557" s="101"/>
      <c r="D1557" s="101"/>
      <c r="E1557" s="101"/>
      <c r="F1557" s="101"/>
      <c r="G1557" s="101"/>
      <c r="H1557" s="101"/>
      <c r="I1557" s="101"/>
      <c r="J1557" s="101"/>
      <c r="S1557" s="101"/>
      <c r="T1557" s="241"/>
      <c r="U1557" s="241"/>
      <c r="V1557" s="241"/>
      <c r="W1557" s="241"/>
      <c r="X1557" s="241"/>
      <c r="Y1557" s="241"/>
      <c r="Z1557" s="241"/>
    </row>
    <row r="1558" spans="3:26" ht="16.5">
      <c r="C1558" s="101"/>
      <c r="D1558" s="101"/>
      <c r="E1558" s="101"/>
      <c r="F1558" s="101"/>
      <c r="G1558" s="101"/>
      <c r="H1558" s="101"/>
      <c r="I1558" s="101"/>
      <c r="J1558" s="101"/>
      <c r="S1558" s="101"/>
      <c r="T1558" s="241"/>
      <c r="U1558" s="241"/>
      <c r="V1558" s="241"/>
      <c r="W1558" s="241"/>
      <c r="X1558" s="241"/>
      <c r="Y1558" s="241"/>
      <c r="Z1558" s="241"/>
    </row>
    <row r="1559" spans="3:26" ht="16.5">
      <c r="C1559" s="101"/>
      <c r="D1559" s="101"/>
      <c r="E1559" s="101"/>
      <c r="F1559" s="101"/>
      <c r="G1559" s="101"/>
      <c r="H1559" s="101"/>
      <c r="I1559" s="101"/>
      <c r="J1559" s="101"/>
      <c r="S1559" s="101"/>
      <c r="T1559" s="241"/>
      <c r="U1559" s="241"/>
      <c r="V1559" s="241"/>
      <c r="W1559" s="241"/>
      <c r="X1559" s="241"/>
      <c r="Y1559" s="241"/>
      <c r="Z1559" s="241"/>
    </row>
    <row r="1560" spans="3:26" ht="16.5">
      <c r="C1560" s="101"/>
      <c r="D1560" s="101"/>
      <c r="E1560" s="101"/>
      <c r="F1560" s="101"/>
      <c r="G1560" s="101"/>
      <c r="H1560" s="101"/>
      <c r="I1560" s="101"/>
      <c r="J1560" s="101"/>
      <c r="S1560" s="101"/>
      <c r="T1560" s="241"/>
      <c r="U1560" s="241"/>
      <c r="V1560" s="241"/>
      <c r="W1560" s="241"/>
      <c r="X1560" s="241"/>
      <c r="Y1560" s="241"/>
      <c r="Z1560" s="241"/>
    </row>
    <row r="1561" spans="3:26" ht="16.5">
      <c r="C1561" s="101"/>
      <c r="D1561" s="101"/>
      <c r="E1561" s="101"/>
      <c r="F1561" s="101"/>
      <c r="G1561" s="101"/>
      <c r="H1561" s="101"/>
      <c r="I1561" s="101"/>
      <c r="J1561" s="101"/>
      <c r="S1561" s="101"/>
      <c r="T1561" s="241"/>
      <c r="U1561" s="241"/>
      <c r="V1561" s="241"/>
      <c r="W1561" s="241"/>
      <c r="X1561" s="241"/>
      <c r="Y1561" s="241"/>
      <c r="Z1561" s="241"/>
    </row>
    <row r="1562" spans="3:26" ht="16.5">
      <c r="C1562" s="101"/>
      <c r="D1562" s="101"/>
      <c r="E1562" s="101"/>
      <c r="F1562" s="101"/>
      <c r="G1562" s="101"/>
      <c r="H1562" s="101"/>
      <c r="I1562" s="101"/>
      <c r="J1562" s="101"/>
      <c r="S1562" s="101"/>
      <c r="T1562" s="241"/>
      <c r="U1562" s="241"/>
      <c r="V1562" s="241"/>
      <c r="W1562" s="241"/>
      <c r="X1562" s="241"/>
      <c r="Y1562" s="241"/>
      <c r="Z1562" s="241"/>
    </row>
    <row r="1563" spans="3:26" ht="16.5">
      <c r="C1563" s="101"/>
      <c r="D1563" s="101"/>
      <c r="E1563" s="101"/>
      <c r="F1563" s="101"/>
      <c r="G1563" s="101"/>
      <c r="H1563" s="101"/>
      <c r="I1563" s="101"/>
      <c r="J1563" s="101"/>
      <c r="S1563" s="101"/>
      <c r="T1563" s="241"/>
      <c r="U1563" s="241"/>
      <c r="V1563" s="241"/>
      <c r="W1563" s="241"/>
      <c r="X1563" s="241"/>
      <c r="Y1563" s="241"/>
      <c r="Z1563" s="241"/>
    </row>
    <row r="1564" spans="3:26" ht="16.5">
      <c r="C1564" s="101"/>
      <c r="D1564" s="101"/>
      <c r="E1564" s="101"/>
      <c r="F1564" s="101"/>
      <c r="G1564" s="101"/>
      <c r="H1564" s="101"/>
      <c r="I1564" s="101"/>
      <c r="J1564" s="101"/>
      <c r="S1564" s="101"/>
      <c r="T1564" s="241"/>
      <c r="U1564" s="241"/>
      <c r="V1564" s="241"/>
      <c r="W1564" s="241"/>
      <c r="X1564" s="241"/>
      <c r="Y1564" s="241"/>
      <c r="Z1564" s="241"/>
    </row>
    <row r="1565" spans="3:26" ht="16.5">
      <c r="C1565" s="101"/>
      <c r="D1565" s="101"/>
      <c r="E1565" s="101"/>
      <c r="F1565" s="101"/>
      <c r="G1565" s="101"/>
      <c r="H1565" s="101"/>
      <c r="I1565" s="101"/>
      <c r="J1565" s="101"/>
      <c r="S1565" s="101"/>
      <c r="T1565" s="241"/>
      <c r="U1565" s="241"/>
      <c r="V1565" s="241"/>
      <c r="W1565" s="241"/>
      <c r="X1565" s="241"/>
      <c r="Y1565" s="241"/>
      <c r="Z1565" s="241"/>
    </row>
    <row r="1566" spans="3:26" ht="16.5">
      <c r="C1566" s="101"/>
      <c r="D1566" s="101"/>
      <c r="E1566" s="101"/>
      <c r="F1566" s="101"/>
      <c r="G1566" s="101"/>
      <c r="H1566" s="101"/>
      <c r="I1566" s="101"/>
      <c r="J1566" s="101"/>
      <c r="S1566" s="101"/>
      <c r="T1566" s="241"/>
      <c r="U1566" s="241"/>
      <c r="V1566" s="241"/>
      <c r="W1566" s="241"/>
      <c r="X1566" s="241"/>
      <c r="Y1566" s="241"/>
      <c r="Z1566" s="241"/>
    </row>
    <row r="1567" spans="3:26" ht="16.5">
      <c r="C1567" s="101"/>
      <c r="D1567" s="101"/>
      <c r="E1567" s="101"/>
      <c r="F1567" s="101"/>
      <c r="G1567" s="101"/>
      <c r="H1567" s="101"/>
      <c r="I1567" s="101"/>
      <c r="J1567" s="101"/>
      <c r="S1567" s="101"/>
      <c r="T1567" s="241"/>
      <c r="U1567" s="241"/>
      <c r="V1567" s="241"/>
      <c r="W1567" s="241"/>
      <c r="X1567" s="241"/>
      <c r="Y1567" s="241"/>
      <c r="Z1567" s="241"/>
    </row>
    <row r="1568" spans="3:26" ht="16.5">
      <c r="C1568" s="101"/>
      <c r="D1568" s="101"/>
      <c r="E1568" s="101"/>
      <c r="F1568" s="101"/>
      <c r="G1568" s="101"/>
      <c r="H1568" s="101"/>
      <c r="I1568" s="101"/>
      <c r="J1568" s="101"/>
      <c r="S1568" s="101"/>
      <c r="T1568" s="241"/>
      <c r="U1568" s="241"/>
      <c r="V1568" s="241"/>
      <c r="W1568" s="241"/>
      <c r="X1568" s="241"/>
      <c r="Y1568" s="241"/>
      <c r="Z1568" s="241"/>
    </row>
    <row r="1569" spans="3:26" ht="16.5">
      <c r="C1569" s="101"/>
      <c r="D1569" s="101"/>
      <c r="E1569" s="101"/>
      <c r="F1569" s="101"/>
      <c r="G1569" s="101"/>
      <c r="H1569" s="101"/>
      <c r="I1569" s="101"/>
      <c r="J1569" s="101"/>
      <c r="S1569" s="101"/>
      <c r="T1569" s="241"/>
      <c r="U1569" s="241"/>
      <c r="V1569" s="241"/>
      <c r="W1569" s="241"/>
      <c r="X1569" s="241"/>
      <c r="Y1569" s="241"/>
      <c r="Z1569" s="241"/>
    </row>
    <row r="1570" spans="3:26" ht="16.5">
      <c r="C1570" s="101"/>
      <c r="D1570" s="101"/>
      <c r="E1570" s="101"/>
      <c r="F1570" s="101"/>
      <c r="G1570" s="101"/>
      <c r="H1570" s="101"/>
      <c r="I1570" s="101"/>
      <c r="J1570" s="101"/>
      <c r="S1570" s="101"/>
      <c r="T1570" s="241"/>
      <c r="U1570" s="241"/>
      <c r="V1570" s="241"/>
      <c r="W1570" s="241"/>
      <c r="X1570" s="241"/>
      <c r="Y1570" s="241"/>
      <c r="Z1570" s="241"/>
    </row>
    <row r="1571" spans="3:26" ht="16.5">
      <c r="C1571" s="101"/>
      <c r="D1571" s="101"/>
      <c r="E1571" s="101"/>
      <c r="F1571" s="101"/>
      <c r="G1571" s="101"/>
      <c r="H1571" s="101"/>
      <c r="I1571" s="101"/>
      <c r="J1571" s="101"/>
      <c r="S1571" s="101"/>
      <c r="T1571" s="241"/>
      <c r="U1571" s="241"/>
      <c r="V1571" s="241"/>
      <c r="W1571" s="241"/>
      <c r="X1571" s="241"/>
      <c r="Y1571" s="241"/>
      <c r="Z1571" s="241"/>
    </row>
    <row r="1572" spans="3:26" ht="16.5">
      <c r="C1572" s="101"/>
      <c r="D1572" s="101"/>
      <c r="E1572" s="101"/>
      <c r="F1572" s="101"/>
      <c r="G1572" s="101"/>
      <c r="H1572" s="101"/>
      <c r="I1572" s="101"/>
      <c r="J1572" s="101"/>
      <c r="S1572" s="101"/>
      <c r="T1572" s="241"/>
      <c r="U1572" s="241"/>
      <c r="V1572" s="241"/>
      <c r="W1572" s="241"/>
      <c r="X1572" s="241"/>
      <c r="Y1572" s="241"/>
      <c r="Z1572" s="241"/>
    </row>
    <row r="1573" spans="3:26" ht="16.5">
      <c r="C1573" s="101"/>
      <c r="D1573" s="101"/>
      <c r="E1573" s="101"/>
      <c r="F1573" s="101"/>
      <c r="G1573" s="101"/>
      <c r="H1573" s="101"/>
      <c r="I1573" s="101"/>
      <c r="J1573" s="101"/>
      <c r="S1573" s="101"/>
      <c r="T1573" s="241"/>
      <c r="U1573" s="241"/>
      <c r="V1573" s="241"/>
      <c r="W1573" s="241"/>
      <c r="X1573" s="241"/>
      <c r="Y1573" s="241"/>
      <c r="Z1573" s="241"/>
    </row>
    <row r="1574" spans="3:26" ht="16.5">
      <c r="C1574" s="101"/>
      <c r="D1574" s="101"/>
      <c r="E1574" s="101"/>
      <c r="F1574" s="101"/>
      <c r="G1574" s="101"/>
      <c r="H1574" s="101"/>
      <c r="I1574" s="101"/>
      <c r="J1574" s="101"/>
      <c r="S1574" s="101"/>
      <c r="T1574" s="241"/>
      <c r="U1574" s="241"/>
      <c r="V1574" s="241"/>
      <c r="W1574" s="241"/>
      <c r="X1574" s="241"/>
      <c r="Y1574" s="241"/>
      <c r="Z1574" s="241"/>
    </row>
    <row r="1575" spans="3:26" ht="16.5">
      <c r="C1575" s="101"/>
      <c r="D1575" s="101"/>
      <c r="E1575" s="101"/>
      <c r="F1575" s="101"/>
      <c r="G1575" s="101"/>
      <c r="H1575" s="101"/>
      <c r="I1575" s="101"/>
      <c r="J1575" s="101"/>
      <c r="S1575" s="101"/>
      <c r="T1575" s="241"/>
      <c r="U1575" s="241"/>
      <c r="V1575" s="241"/>
      <c r="W1575" s="241"/>
      <c r="X1575" s="241"/>
      <c r="Y1575" s="241"/>
      <c r="Z1575" s="241"/>
    </row>
    <row r="1576" spans="3:26" ht="16.5">
      <c r="C1576" s="101"/>
      <c r="D1576" s="101"/>
      <c r="E1576" s="101"/>
      <c r="F1576" s="101"/>
      <c r="G1576" s="101"/>
      <c r="H1576" s="101"/>
      <c r="I1576" s="101"/>
      <c r="J1576" s="101"/>
      <c r="S1576" s="101"/>
      <c r="T1576" s="241"/>
      <c r="U1576" s="241"/>
      <c r="V1576" s="241"/>
      <c r="W1576" s="241"/>
      <c r="X1576" s="241"/>
      <c r="Y1576" s="241"/>
      <c r="Z1576" s="241"/>
    </row>
    <row r="1577" spans="3:26" ht="16.5">
      <c r="C1577" s="101"/>
      <c r="D1577" s="101"/>
      <c r="E1577" s="101"/>
      <c r="F1577" s="101"/>
      <c r="G1577" s="101"/>
      <c r="H1577" s="101"/>
      <c r="I1577" s="101"/>
      <c r="J1577" s="101"/>
      <c r="S1577" s="101"/>
      <c r="T1577" s="241"/>
      <c r="U1577" s="241"/>
      <c r="V1577" s="241"/>
      <c r="W1577" s="241"/>
      <c r="X1577" s="241"/>
      <c r="Y1577" s="241"/>
      <c r="Z1577" s="241"/>
    </row>
    <row r="1578" spans="3:26" ht="16.5">
      <c r="C1578" s="101"/>
      <c r="D1578" s="101"/>
      <c r="E1578" s="101"/>
      <c r="F1578" s="101"/>
      <c r="G1578" s="101"/>
      <c r="H1578" s="101"/>
      <c r="I1578" s="101"/>
      <c r="J1578" s="101"/>
      <c r="S1578" s="101"/>
      <c r="T1578" s="241"/>
      <c r="U1578" s="241"/>
      <c r="V1578" s="241"/>
      <c r="W1578" s="241"/>
      <c r="X1578" s="241"/>
      <c r="Y1578" s="241"/>
      <c r="Z1578" s="241"/>
    </row>
    <row r="1579" spans="3:26" ht="16.5">
      <c r="C1579" s="101"/>
      <c r="D1579" s="101"/>
      <c r="E1579" s="101"/>
      <c r="F1579" s="101"/>
      <c r="G1579" s="101"/>
      <c r="H1579" s="101"/>
      <c r="I1579" s="101"/>
      <c r="J1579" s="101"/>
      <c r="S1579" s="101"/>
      <c r="T1579" s="241"/>
      <c r="U1579" s="241"/>
      <c r="V1579" s="241"/>
      <c r="W1579" s="241"/>
      <c r="X1579" s="241"/>
      <c r="Y1579" s="241"/>
      <c r="Z1579" s="241"/>
    </row>
    <row r="1580" spans="3:26" ht="16.5">
      <c r="C1580" s="101"/>
      <c r="D1580" s="101"/>
      <c r="E1580" s="101"/>
      <c r="F1580" s="101"/>
      <c r="G1580" s="101"/>
      <c r="H1580" s="101"/>
      <c r="I1580" s="101"/>
      <c r="J1580" s="101"/>
      <c r="S1580" s="101"/>
      <c r="T1580" s="241"/>
      <c r="U1580" s="241"/>
      <c r="V1580" s="241"/>
      <c r="W1580" s="241"/>
      <c r="X1580" s="241"/>
      <c r="Y1580" s="241"/>
      <c r="Z1580" s="241"/>
    </row>
    <row r="1581" spans="3:26" ht="16.5">
      <c r="C1581" s="101"/>
      <c r="D1581" s="101"/>
      <c r="E1581" s="101"/>
      <c r="F1581" s="101"/>
      <c r="G1581" s="101"/>
      <c r="H1581" s="101"/>
      <c r="I1581" s="101"/>
      <c r="J1581" s="101"/>
      <c r="S1581" s="101"/>
      <c r="T1581" s="241"/>
      <c r="U1581" s="241"/>
      <c r="V1581" s="241"/>
      <c r="W1581" s="241"/>
      <c r="X1581" s="241"/>
      <c r="Y1581" s="241"/>
      <c r="Z1581" s="241"/>
    </row>
    <row r="1582" spans="3:26" ht="16.5">
      <c r="C1582" s="101"/>
      <c r="D1582" s="101"/>
      <c r="E1582" s="101"/>
      <c r="F1582" s="101"/>
      <c r="G1582" s="101"/>
      <c r="H1582" s="101"/>
      <c r="I1582" s="101"/>
      <c r="J1582" s="101"/>
      <c r="S1582" s="101"/>
      <c r="T1582" s="241"/>
      <c r="U1582" s="241"/>
      <c r="V1582" s="241"/>
      <c r="W1582" s="241"/>
      <c r="X1582" s="241"/>
      <c r="Y1582" s="241"/>
      <c r="Z1582" s="241"/>
    </row>
    <row r="1583" spans="3:26" ht="16.5">
      <c r="C1583" s="101"/>
      <c r="D1583" s="101"/>
      <c r="E1583" s="101"/>
      <c r="F1583" s="101"/>
      <c r="G1583" s="101"/>
      <c r="H1583" s="101"/>
      <c r="I1583" s="101"/>
      <c r="J1583" s="101"/>
      <c r="S1583" s="101"/>
      <c r="T1583" s="241"/>
      <c r="U1583" s="241"/>
      <c r="V1583" s="241"/>
      <c r="W1583" s="241"/>
      <c r="X1583" s="241"/>
      <c r="Y1583" s="241"/>
      <c r="Z1583" s="241"/>
    </row>
    <row r="1584" spans="3:26" ht="16.5">
      <c r="C1584" s="101"/>
      <c r="D1584" s="101"/>
      <c r="E1584" s="101"/>
      <c r="F1584" s="101"/>
      <c r="G1584" s="101"/>
      <c r="H1584" s="101"/>
      <c r="I1584" s="101"/>
      <c r="J1584" s="101"/>
      <c r="S1584" s="101"/>
      <c r="T1584" s="241"/>
      <c r="U1584" s="241"/>
      <c r="V1584" s="241"/>
      <c r="W1584" s="241"/>
      <c r="X1584" s="241"/>
      <c r="Y1584" s="241"/>
      <c r="Z1584" s="241"/>
    </row>
    <row r="1585" spans="3:26" ht="16.5">
      <c r="C1585" s="101"/>
      <c r="D1585" s="101"/>
      <c r="E1585" s="101"/>
      <c r="F1585" s="101"/>
      <c r="G1585" s="101"/>
      <c r="H1585" s="101"/>
      <c r="I1585" s="101"/>
      <c r="J1585" s="101"/>
      <c r="S1585" s="101"/>
      <c r="T1585" s="241"/>
      <c r="U1585" s="241"/>
      <c r="V1585" s="241"/>
      <c r="W1585" s="241"/>
      <c r="X1585" s="241"/>
      <c r="Y1585" s="241"/>
      <c r="Z1585" s="241"/>
    </row>
    <row r="1586" spans="3:26" ht="16.5">
      <c r="C1586" s="101"/>
      <c r="D1586" s="101"/>
      <c r="E1586" s="101"/>
      <c r="F1586" s="101"/>
      <c r="G1586" s="101"/>
      <c r="H1586" s="101"/>
      <c r="I1586" s="101"/>
      <c r="J1586" s="101"/>
      <c r="S1586" s="101"/>
      <c r="T1586" s="241"/>
      <c r="U1586" s="241"/>
      <c r="V1586" s="241"/>
      <c r="W1586" s="241"/>
      <c r="X1586" s="241"/>
      <c r="Y1586" s="241"/>
      <c r="Z1586" s="241"/>
    </row>
    <row r="1587" spans="3:26" ht="16.5">
      <c r="C1587" s="101"/>
      <c r="D1587" s="101"/>
      <c r="E1587" s="101"/>
      <c r="F1587" s="101"/>
      <c r="G1587" s="101"/>
      <c r="H1587" s="101"/>
      <c r="I1587" s="101"/>
      <c r="J1587" s="101"/>
      <c r="S1587" s="101"/>
      <c r="T1587" s="241"/>
      <c r="U1587" s="241"/>
      <c r="V1587" s="241"/>
      <c r="W1587" s="241"/>
      <c r="X1587" s="241"/>
      <c r="Y1587" s="241"/>
      <c r="Z1587" s="241"/>
    </row>
    <row r="1588" spans="3:26" ht="16.5">
      <c r="C1588" s="101"/>
      <c r="D1588" s="101"/>
      <c r="E1588" s="101"/>
      <c r="F1588" s="101"/>
      <c r="G1588" s="101"/>
      <c r="H1588" s="101"/>
      <c r="I1588" s="101"/>
      <c r="J1588" s="101"/>
      <c r="S1588" s="101"/>
      <c r="T1588" s="241"/>
      <c r="U1588" s="241"/>
      <c r="V1588" s="241"/>
      <c r="W1588" s="241"/>
      <c r="X1588" s="241"/>
      <c r="Y1588" s="241"/>
      <c r="Z1588" s="241"/>
    </row>
    <row r="1589" spans="3:26" ht="16.5">
      <c r="C1589" s="101"/>
      <c r="D1589" s="101"/>
      <c r="E1589" s="101"/>
      <c r="F1589" s="101"/>
      <c r="G1589" s="101"/>
      <c r="H1589" s="101"/>
      <c r="I1589" s="101"/>
      <c r="J1589" s="101"/>
      <c r="S1589" s="101"/>
      <c r="T1589" s="241"/>
      <c r="U1589" s="241"/>
      <c r="V1589" s="241"/>
      <c r="W1589" s="241"/>
      <c r="X1589" s="241"/>
      <c r="Y1589" s="241"/>
      <c r="Z1589" s="241"/>
    </row>
    <row r="1590" spans="3:26" ht="16.5">
      <c r="C1590" s="101"/>
      <c r="D1590" s="101"/>
      <c r="E1590" s="101"/>
      <c r="F1590" s="101"/>
      <c r="G1590" s="101"/>
      <c r="H1590" s="101"/>
      <c r="I1590" s="101"/>
      <c r="J1590" s="101"/>
      <c r="S1590" s="101"/>
      <c r="T1590" s="241"/>
      <c r="U1590" s="241"/>
      <c r="V1590" s="241"/>
      <c r="W1590" s="241"/>
      <c r="X1590" s="241"/>
      <c r="Y1590" s="241"/>
      <c r="Z1590" s="241"/>
    </row>
    <row r="1591" spans="3:26" ht="16.5">
      <c r="C1591" s="101"/>
      <c r="D1591" s="101"/>
      <c r="E1591" s="101"/>
      <c r="F1591" s="101"/>
      <c r="G1591" s="101"/>
      <c r="H1591" s="101"/>
      <c r="I1591" s="101"/>
      <c r="J1591" s="101"/>
      <c r="S1591" s="101"/>
      <c r="T1591" s="241"/>
      <c r="U1591" s="241"/>
      <c r="V1591" s="241"/>
      <c r="W1591" s="241"/>
      <c r="X1591" s="241"/>
      <c r="Y1591" s="241"/>
      <c r="Z1591" s="241"/>
    </row>
    <row r="1592" spans="3:26" ht="16.5">
      <c r="C1592" s="101"/>
      <c r="D1592" s="101"/>
      <c r="E1592" s="101"/>
      <c r="F1592" s="101"/>
      <c r="G1592" s="101"/>
      <c r="H1592" s="101"/>
      <c r="I1592" s="101"/>
      <c r="J1592" s="101"/>
      <c r="S1592" s="101"/>
      <c r="T1592" s="241"/>
      <c r="U1592" s="241"/>
      <c r="V1592" s="241"/>
      <c r="W1592" s="241"/>
      <c r="X1592" s="241"/>
      <c r="Y1592" s="241"/>
      <c r="Z1592" s="241"/>
    </row>
    <row r="1593" spans="3:26" ht="16.5">
      <c r="C1593" s="101"/>
      <c r="D1593" s="101"/>
      <c r="E1593" s="101"/>
      <c r="F1593" s="101"/>
      <c r="G1593" s="101"/>
      <c r="H1593" s="101"/>
      <c r="I1593" s="101"/>
      <c r="J1593" s="101"/>
      <c r="S1593" s="101"/>
      <c r="T1593" s="241"/>
      <c r="U1593" s="241"/>
      <c r="V1593" s="241"/>
      <c r="W1593" s="241"/>
      <c r="X1593" s="241"/>
      <c r="Y1593" s="241"/>
      <c r="Z1593" s="241"/>
    </row>
    <row r="1594" spans="3:26" ht="16.5">
      <c r="C1594" s="101"/>
      <c r="D1594" s="101"/>
      <c r="E1594" s="101"/>
      <c r="F1594" s="101"/>
      <c r="G1594" s="101"/>
      <c r="H1594" s="101"/>
      <c r="I1594" s="101"/>
      <c r="J1594" s="101"/>
      <c r="S1594" s="101"/>
      <c r="T1594" s="241"/>
      <c r="U1594" s="241"/>
      <c r="V1594" s="241"/>
      <c r="W1594" s="241"/>
      <c r="X1594" s="241"/>
      <c r="Y1594" s="241"/>
      <c r="Z1594" s="241"/>
    </row>
    <row r="1595" spans="3:26" ht="16.5">
      <c r="C1595" s="101"/>
      <c r="D1595" s="101"/>
      <c r="E1595" s="101"/>
      <c r="F1595" s="101"/>
      <c r="G1595" s="101"/>
      <c r="H1595" s="101"/>
      <c r="I1595" s="101"/>
      <c r="J1595" s="101"/>
      <c r="S1595" s="101"/>
      <c r="T1595" s="241"/>
      <c r="U1595" s="241"/>
      <c r="V1595" s="241"/>
      <c r="W1595" s="241"/>
      <c r="X1595" s="241"/>
      <c r="Y1595" s="241"/>
      <c r="Z1595" s="241"/>
    </row>
    <row r="1596" spans="3:26" ht="16.5">
      <c r="C1596" s="101"/>
      <c r="D1596" s="101"/>
      <c r="E1596" s="101"/>
      <c r="F1596" s="101"/>
      <c r="G1596" s="101"/>
      <c r="H1596" s="101"/>
      <c r="I1596" s="101"/>
      <c r="J1596" s="101"/>
      <c r="S1596" s="101"/>
      <c r="T1596" s="241"/>
      <c r="U1596" s="241"/>
      <c r="V1596" s="241"/>
      <c r="W1596" s="241"/>
      <c r="X1596" s="241"/>
      <c r="Y1596" s="241"/>
      <c r="Z1596" s="241"/>
    </row>
    <row r="1597" spans="3:26" ht="16.5">
      <c r="C1597" s="101"/>
      <c r="D1597" s="101"/>
      <c r="E1597" s="101"/>
      <c r="F1597" s="101"/>
      <c r="G1597" s="101"/>
      <c r="H1597" s="101"/>
      <c r="I1597" s="101"/>
      <c r="J1597" s="101"/>
      <c r="S1597" s="101"/>
      <c r="T1597" s="241"/>
      <c r="U1597" s="241"/>
      <c r="V1597" s="241"/>
      <c r="W1597" s="241"/>
      <c r="X1597" s="241"/>
      <c r="Y1597" s="241"/>
      <c r="Z1597" s="241"/>
    </row>
    <row r="1598" spans="3:26" ht="16.5">
      <c r="C1598" s="101"/>
      <c r="D1598" s="101"/>
      <c r="E1598" s="101"/>
      <c r="F1598" s="101"/>
      <c r="G1598" s="101"/>
      <c r="H1598" s="101"/>
      <c r="I1598" s="101"/>
      <c r="J1598" s="101"/>
      <c r="S1598" s="101"/>
      <c r="T1598" s="241"/>
      <c r="U1598" s="241"/>
      <c r="V1598" s="241"/>
      <c r="W1598" s="241"/>
      <c r="X1598" s="241"/>
      <c r="Y1598" s="241"/>
      <c r="Z1598" s="241"/>
    </row>
    <row r="1599" spans="3:26" ht="16.5">
      <c r="C1599" s="101"/>
      <c r="D1599" s="101"/>
      <c r="E1599" s="101"/>
      <c r="F1599" s="101"/>
      <c r="G1599" s="101"/>
      <c r="H1599" s="101"/>
      <c r="I1599" s="101"/>
      <c r="J1599" s="101"/>
      <c r="S1599" s="101"/>
      <c r="T1599" s="241"/>
      <c r="U1599" s="241"/>
      <c r="V1599" s="241"/>
      <c r="W1599" s="241"/>
      <c r="X1599" s="241"/>
      <c r="Y1599" s="241"/>
      <c r="Z1599" s="241"/>
    </row>
    <row r="1600" spans="3:26" ht="16.5">
      <c r="C1600" s="101"/>
      <c r="D1600" s="101"/>
      <c r="E1600" s="101"/>
      <c r="F1600" s="101"/>
      <c r="G1600" s="101"/>
      <c r="H1600" s="101"/>
      <c r="I1600" s="101"/>
      <c r="J1600" s="101"/>
      <c r="S1600" s="101"/>
      <c r="T1600" s="241"/>
      <c r="U1600" s="241"/>
      <c r="V1600" s="241"/>
      <c r="W1600" s="241"/>
      <c r="X1600" s="241"/>
      <c r="Y1600" s="241"/>
      <c r="Z1600" s="241"/>
    </row>
    <row r="1601" spans="3:26" ht="16.5">
      <c r="C1601" s="101"/>
      <c r="D1601" s="101"/>
      <c r="E1601" s="101"/>
      <c r="F1601" s="101"/>
      <c r="G1601" s="101"/>
      <c r="H1601" s="101"/>
      <c r="I1601" s="101"/>
      <c r="J1601" s="101"/>
      <c r="S1601" s="101"/>
      <c r="T1601" s="241"/>
      <c r="U1601" s="241"/>
      <c r="V1601" s="241"/>
      <c r="W1601" s="241"/>
      <c r="X1601" s="241"/>
      <c r="Y1601" s="241"/>
      <c r="Z1601" s="241"/>
    </row>
    <row r="1602" spans="3:26" ht="16.5">
      <c r="C1602" s="101"/>
      <c r="D1602" s="101"/>
      <c r="E1602" s="101"/>
      <c r="F1602" s="101"/>
      <c r="G1602" s="101"/>
      <c r="H1602" s="101"/>
      <c r="I1602" s="101"/>
      <c r="J1602" s="101"/>
      <c r="S1602" s="101"/>
      <c r="T1602" s="241"/>
      <c r="U1602" s="241"/>
      <c r="V1602" s="241"/>
      <c r="W1602" s="241"/>
      <c r="X1602" s="241"/>
      <c r="Y1602" s="241"/>
      <c r="Z1602" s="241"/>
    </row>
    <row r="1603" spans="3:26" ht="16.5">
      <c r="C1603" s="101"/>
      <c r="D1603" s="101"/>
      <c r="E1603" s="101"/>
      <c r="F1603" s="101"/>
      <c r="G1603" s="101"/>
      <c r="H1603" s="101"/>
      <c r="I1603" s="101"/>
      <c r="J1603" s="101"/>
      <c r="S1603" s="101"/>
      <c r="T1603" s="241"/>
      <c r="U1603" s="241"/>
      <c r="V1603" s="241"/>
      <c r="W1603" s="241"/>
      <c r="X1603" s="241"/>
      <c r="Y1603" s="241"/>
      <c r="Z1603" s="241"/>
    </row>
    <row r="1604" spans="3:26" ht="16.5">
      <c r="C1604" s="101"/>
      <c r="D1604" s="101"/>
      <c r="E1604" s="101"/>
      <c r="F1604" s="101"/>
      <c r="G1604" s="101"/>
      <c r="H1604" s="101"/>
      <c r="I1604" s="101"/>
      <c r="J1604" s="101"/>
      <c r="S1604" s="101"/>
      <c r="T1604" s="241"/>
      <c r="U1604" s="241"/>
      <c r="V1604" s="241"/>
      <c r="W1604" s="241"/>
      <c r="X1604" s="241"/>
      <c r="Y1604" s="241"/>
      <c r="Z1604" s="241"/>
    </row>
    <row r="1605" spans="3:26" ht="16.5">
      <c r="C1605" s="101"/>
      <c r="D1605" s="101"/>
      <c r="E1605" s="101"/>
      <c r="F1605" s="101"/>
      <c r="G1605" s="101"/>
      <c r="H1605" s="101"/>
      <c r="I1605" s="101"/>
      <c r="J1605" s="101"/>
      <c r="S1605" s="101"/>
      <c r="T1605" s="241"/>
      <c r="U1605" s="241"/>
      <c r="V1605" s="241"/>
      <c r="W1605" s="241"/>
      <c r="X1605" s="241"/>
      <c r="Y1605" s="241"/>
      <c r="Z1605" s="241"/>
    </row>
    <row r="1606" spans="3:26" ht="16.5">
      <c r="C1606" s="101"/>
      <c r="D1606" s="101"/>
      <c r="E1606" s="101"/>
      <c r="F1606" s="101"/>
      <c r="G1606" s="101"/>
      <c r="H1606" s="101"/>
      <c r="I1606" s="101"/>
      <c r="J1606" s="101"/>
      <c r="S1606" s="101"/>
      <c r="T1606" s="241"/>
      <c r="U1606" s="241"/>
      <c r="V1606" s="241"/>
      <c r="W1606" s="241"/>
      <c r="X1606" s="241"/>
      <c r="Y1606" s="241"/>
      <c r="Z1606" s="241"/>
    </row>
    <row r="1607" spans="3:26" ht="16.5">
      <c r="C1607" s="101"/>
      <c r="D1607" s="101"/>
      <c r="E1607" s="101"/>
      <c r="F1607" s="101"/>
      <c r="G1607" s="101"/>
      <c r="H1607" s="101"/>
      <c r="I1607" s="101"/>
      <c r="J1607" s="101"/>
      <c r="S1607" s="101"/>
      <c r="T1607" s="241"/>
      <c r="U1607" s="241"/>
      <c r="V1607" s="241"/>
      <c r="W1607" s="241"/>
      <c r="X1607" s="241"/>
      <c r="Y1607" s="241"/>
      <c r="Z1607" s="241"/>
    </row>
    <row r="1608" spans="3:26" ht="16.5">
      <c r="C1608" s="101"/>
      <c r="D1608" s="101"/>
      <c r="E1608" s="101"/>
      <c r="F1608" s="101"/>
      <c r="G1608" s="101"/>
      <c r="H1608" s="101"/>
      <c r="I1608" s="101"/>
      <c r="J1608" s="101"/>
      <c r="S1608" s="101"/>
      <c r="T1608" s="241"/>
      <c r="U1608" s="241"/>
      <c r="V1608" s="241"/>
      <c r="W1608" s="241"/>
      <c r="X1608" s="241"/>
      <c r="Y1608" s="241"/>
      <c r="Z1608" s="241"/>
    </row>
    <row r="1609" spans="3:26" ht="16.5">
      <c r="C1609" s="101"/>
      <c r="D1609" s="101"/>
      <c r="E1609" s="101"/>
      <c r="F1609" s="101"/>
      <c r="G1609" s="101"/>
      <c r="H1609" s="101"/>
      <c r="I1609" s="101"/>
      <c r="J1609" s="101"/>
      <c r="S1609" s="101"/>
      <c r="T1609" s="241"/>
      <c r="U1609" s="241"/>
      <c r="V1609" s="241"/>
      <c r="W1609" s="241"/>
      <c r="X1609" s="241"/>
      <c r="Y1609" s="241"/>
      <c r="Z1609" s="241"/>
    </row>
    <row r="1610" spans="3:26" ht="16.5">
      <c r="C1610" s="101"/>
      <c r="D1610" s="101"/>
      <c r="E1610" s="101"/>
      <c r="F1610" s="101"/>
      <c r="G1610" s="101"/>
      <c r="H1610" s="101"/>
      <c r="I1610" s="101"/>
      <c r="J1610" s="101"/>
      <c r="S1610" s="101"/>
      <c r="T1610" s="241"/>
      <c r="U1610" s="241"/>
      <c r="V1610" s="241"/>
      <c r="W1610" s="241"/>
      <c r="X1610" s="241"/>
      <c r="Y1610" s="241"/>
      <c r="Z1610" s="241"/>
    </row>
    <row r="1611" spans="3:26" ht="16.5">
      <c r="C1611" s="101"/>
      <c r="D1611" s="101"/>
      <c r="E1611" s="101"/>
      <c r="F1611" s="101"/>
      <c r="G1611" s="101"/>
      <c r="H1611" s="101"/>
      <c r="I1611" s="101"/>
      <c r="J1611" s="101"/>
      <c r="S1611" s="101"/>
      <c r="T1611" s="241"/>
      <c r="U1611" s="241"/>
      <c r="V1611" s="241"/>
      <c r="W1611" s="241"/>
      <c r="X1611" s="241"/>
      <c r="Y1611" s="241"/>
      <c r="Z1611" s="241"/>
    </row>
    <row r="1612" spans="3:26" ht="16.5">
      <c r="C1612" s="101"/>
      <c r="D1612" s="101"/>
      <c r="E1612" s="101"/>
      <c r="F1612" s="101"/>
      <c r="G1612" s="101"/>
      <c r="H1612" s="101"/>
      <c r="I1612" s="101"/>
      <c r="J1612" s="101"/>
      <c r="S1612" s="101"/>
      <c r="T1612" s="241"/>
      <c r="U1612" s="241"/>
      <c r="V1612" s="241"/>
      <c r="W1612" s="241"/>
      <c r="X1612" s="241"/>
      <c r="Y1612" s="241"/>
      <c r="Z1612" s="241"/>
    </row>
    <row r="1613" spans="3:26" ht="16.5">
      <c r="C1613" s="101"/>
      <c r="D1613" s="101"/>
      <c r="E1613" s="101"/>
      <c r="F1613" s="101"/>
      <c r="G1613" s="101"/>
      <c r="H1613" s="101"/>
      <c r="I1613" s="101"/>
      <c r="J1613" s="101"/>
      <c r="S1613" s="101"/>
      <c r="T1613" s="241"/>
      <c r="U1613" s="241"/>
      <c r="V1613" s="241"/>
      <c r="W1613" s="241"/>
      <c r="X1613" s="241"/>
      <c r="Y1613" s="241"/>
      <c r="Z1613" s="241"/>
    </row>
    <row r="1614" spans="3:26" ht="16.5">
      <c r="C1614" s="101"/>
      <c r="D1614" s="101"/>
      <c r="E1614" s="101"/>
      <c r="F1614" s="101"/>
      <c r="G1614" s="101"/>
      <c r="H1614" s="101"/>
      <c r="I1614" s="101"/>
      <c r="J1614" s="101"/>
      <c r="S1614" s="101"/>
      <c r="T1614" s="241"/>
      <c r="U1614" s="241"/>
      <c r="V1614" s="241"/>
      <c r="W1614" s="241"/>
      <c r="X1614" s="241"/>
      <c r="Y1614" s="241"/>
      <c r="Z1614" s="241"/>
    </row>
    <row r="1615" spans="3:26" ht="16.5">
      <c r="C1615" s="101"/>
      <c r="D1615" s="101"/>
      <c r="E1615" s="101"/>
      <c r="F1615" s="101"/>
      <c r="G1615" s="101"/>
      <c r="H1615" s="101"/>
      <c r="I1615" s="101"/>
      <c r="J1615" s="101"/>
      <c r="S1615" s="101"/>
      <c r="T1615" s="241"/>
      <c r="U1615" s="241"/>
      <c r="V1615" s="241"/>
      <c r="W1615" s="241"/>
      <c r="X1615" s="241"/>
      <c r="Y1615" s="241"/>
      <c r="Z1615" s="241"/>
    </row>
    <row r="1616" spans="3:26" ht="16.5">
      <c r="C1616" s="101"/>
      <c r="D1616" s="101"/>
      <c r="E1616" s="101"/>
      <c r="F1616" s="101"/>
      <c r="G1616" s="101"/>
      <c r="H1616" s="101"/>
      <c r="I1616" s="101"/>
      <c r="J1616" s="101"/>
      <c r="S1616" s="101"/>
      <c r="T1616" s="241"/>
      <c r="U1616" s="241"/>
      <c r="V1616" s="241"/>
      <c r="W1616" s="241"/>
      <c r="X1616" s="241"/>
      <c r="Y1616" s="241"/>
      <c r="Z1616" s="241"/>
    </row>
    <row r="1617" spans="3:26" ht="16.5">
      <c r="C1617" s="101"/>
      <c r="D1617" s="101"/>
      <c r="E1617" s="101"/>
      <c r="F1617" s="101"/>
      <c r="G1617" s="101"/>
      <c r="H1617" s="101"/>
      <c r="I1617" s="101"/>
      <c r="J1617" s="101"/>
      <c r="S1617" s="101"/>
      <c r="T1617" s="241"/>
      <c r="U1617" s="241"/>
      <c r="V1617" s="241"/>
      <c r="W1617" s="241"/>
      <c r="X1617" s="241"/>
      <c r="Y1617" s="241"/>
      <c r="Z1617" s="241"/>
    </row>
    <row r="1618" spans="3:26" ht="16.5">
      <c r="C1618" s="101"/>
      <c r="D1618" s="101"/>
      <c r="E1618" s="101"/>
      <c r="F1618" s="101"/>
      <c r="G1618" s="101"/>
      <c r="H1618" s="101"/>
      <c r="I1618" s="101"/>
      <c r="J1618" s="101"/>
      <c r="S1618" s="101"/>
      <c r="T1618" s="241"/>
      <c r="U1618" s="241"/>
      <c r="V1618" s="241"/>
      <c r="W1618" s="241"/>
      <c r="X1618" s="241"/>
      <c r="Y1618" s="241"/>
      <c r="Z1618" s="241"/>
    </row>
    <row r="1619" spans="3:26" ht="16.5">
      <c r="C1619" s="101"/>
      <c r="D1619" s="101"/>
      <c r="E1619" s="101"/>
      <c r="F1619" s="101"/>
      <c r="G1619" s="101"/>
      <c r="H1619" s="101"/>
      <c r="I1619" s="101"/>
      <c r="J1619" s="101"/>
      <c r="S1619" s="101"/>
      <c r="T1619" s="241"/>
      <c r="U1619" s="241"/>
      <c r="V1619" s="241"/>
      <c r="W1619" s="241"/>
      <c r="X1619" s="241"/>
      <c r="Y1619" s="241"/>
      <c r="Z1619" s="241"/>
    </row>
    <row r="1620" spans="3:26" ht="16.5">
      <c r="C1620" s="101"/>
      <c r="D1620" s="101"/>
      <c r="E1620" s="101"/>
      <c r="F1620" s="101"/>
      <c r="G1620" s="101"/>
      <c r="H1620" s="101"/>
      <c r="I1620" s="101"/>
      <c r="J1620" s="101"/>
      <c r="S1620" s="101"/>
      <c r="T1620" s="241"/>
      <c r="U1620" s="241"/>
      <c r="V1620" s="241"/>
      <c r="W1620" s="241"/>
      <c r="X1620" s="241"/>
      <c r="Y1620" s="241"/>
      <c r="Z1620" s="241"/>
    </row>
    <row r="1621" spans="3:26" ht="16.5">
      <c r="C1621" s="101"/>
      <c r="D1621" s="101"/>
      <c r="E1621" s="101"/>
      <c r="F1621" s="101"/>
      <c r="G1621" s="101"/>
      <c r="H1621" s="101"/>
      <c r="I1621" s="101"/>
      <c r="J1621" s="101"/>
      <c r="S1621" s="101"/>
      <c r="T1621" s="241"/>
      <c r="U1621" s="241"/>
      <c r="V1621" s="241"/>
      <c r="W1621" s="241"/>
      <c r="X1621" s="241"/>
      <c r="Y1621" s="241"/>
      <c r="Z1621" s="241"/>
    </row>
    <row r="1622" spans="3:26" ht="16.5">
      <c r="C1622" s="101"/>
      <c r="D1622" s="101"/>
      <c r="E1622" s="101"/>
      <c r="F1622" s="101"/>
      <c r="G1622" s="101"/>
      <c r="H1622" s="101"/>
      <c r="I1622" s="101"/>
      <c r="J1622" s="101"/>
      <c r="S1622" s="101"/>
      <c r="T1622" s="241"/>
      <c r="U1622" s="241"/>
      <c r="V1622" s="241"/>
      <c r="W1622" s="241"/>
      <c r="X1622" s="241"/>
      <c r="Y1622" s="241"/>
      <c r="Z1622" s="241"/>
    </row>
    <row r="1623" spans="3:26" ht="16.5">
      <c r="C1623" s="101"/>
      <c r="D1623" s="101"/>
      <c r="E1623" s="101"/>
      <c r="F1623" s="101"/>
      <c r="G1623" s="101"/>
      <c r="H1623" s="101"/>
      <c r="I1623" s="101"/>
      <c r="J1623" s="101"/>
      <c r="S1623" s="101"/>
      <c r="T1623" s="241"/>
      <c r="U1623" s="241"/>
      <c r="V1623" s="241"/>
      <c r="W1623" s="241"/>
      <c r="X1623" s="241"/>
      <c r="Y1623" s="241"/>
      <c r="Z1623" s="241"/>
    </row>
    <row r="1624" spans="3:26" ht="16.5">
      <c r="C1624" s="101"/>
      <c r="D1624" s="101"/>
      <c r="E1624" s="101"/>
      <c r="F1624" s="101"/>
      <c r="G1624" s="101"/>
      <c r="H1624" s="101"/>
      <c r="I1624" s="101"/>
      <c r="J1624" s="101"/>
      <c r="S1624" s="101"/>
      <c r="T1624" s="241"/>
      <c r="U1624" s="241"/>
      <c r="V1624" s="241"/>
      <c r="W1624" s="241"/>
      <c r="X1624" s="241"/>
      <c r="Y1624" s="241"/>
      <c r="Z1624" s="241"/>
    </row>
    <row r="1625" spans="3:26" ht="16.5">
      <c r="C1625" s="101"/>
      <c r="D1625" s="101"/>
      <c r="E1625" s="101"/>
      <c r="F1625" s="101"/>
      <c r="G1625" s="101"/>
      <c r="H1625" s="101"/>
      <c r="I1625" s="101"/>
      <c r="J1625" s="101"/>
      <c r="S1625" s="101"/>
      <c r="T1625" s="241"/>
      <c r="U1625" s="241"/>
      <c r="V1625" s="241"/>
      <c r="W1625" s="241"/>
      <c r="X1625" s="241"/>
      <c r="Y1625" s="241"/>
      <c r="Z1625" s="241"/>
    </row>
    <row r="1626" spans="3:26" ht="16.5">
      <c r="C1626" s="101"/>
      <c r="D1626" s="101"/>
      <c r="E1626" s="101"/>
      <c r="F1626" s="101"/>
      <c r="G1626" s="101"/>
      <c r="H1626" s="101"/>
      <c r="I1626" s="101"/>
      <c r="J1626" s="101"/>
      <c r="S1626" s="101"/>
      <c r="T1626" s="241"/>
      <c r="U1626" s="241"/>
      <c r="V1626" s="241"/>
      <c r="W1626" s="241"/>
      <c r="X1626" s="241"/>
      <c r="Y1626" s="241"/>
      <c r="Z1626" s="241"/>
    </row>
    <row r="1627" spans="3:26" ht="16.5">
      <c r="C1627" s="101"/>
      <c r="D1627" s="101"/>
      <c r="E1627" s="101"/>
      <c r="F1627" s="101"/>
      <c r="G1627" s="101"/>
      <c r="H1627" s="101"/>
      <c r="I1627" s="101"/>
      <c r="J1627" s="101"/>
      <c r="S1627" s="101"/>
      <c r="T1627" s="241"/>
      <c r="U1627" s="241"/>
      <c r="V1627" s="241"/>
      <c r="W1627" s="241"/>
      <c r="X1627" s="241"/>
      <c r="Y1627" s="241"/>
      <c r="Z1627" s="241"/>
    </row>
    <row r="1628" spans="3:26" ht="16.5">
      <c r="C1628" s="101"/>
      <c r="D1628" s="101"/>
      <c r="E1628" s="101"/>
      <c r="F1628" s="101"/>
      <c r="G1628" s="101"/>
      <c r="H1628" s="101"/>
      <c r="I1628" s="101"/>
      <c r="J1628" s="101"/>
      <c r="S1628" s="101"/>
      <c r="T1628" s="241"/>
      <c r="U1628" s="241"/>
      <c r="V1628" s="241"/>
      <c r="W1628" s="241"/>
      <c r="X1628" s="241"/>
      <c r="Y1628" s="241"/>
      <c r="Z1628" s="241"/>
    </row>
    <row r="1629" spans="3:26" ht="16.5">
      <c r="C1629" s="101"/>
      <c r="D1629" s="101"/>
      <c r="E1629" s="101"/>
      <c r="F1629" s="101"/>
      <c r="G1629" s="101"/>
      <c r="H1629" s="101"/>
      <c r="I1629" s="101"/>
      <c r="J1629" s="101"/>
      <c r="S1629" s="101"/>
      <c r="T1629" s="241"/>
      <c r="U1629" s="241"/>
      <c r="V1629" s="241"/>
      <c r="W1629" s="241"/>
      <c r="X1629" s="241"/>
      <c r="Y1629" s="241"/>
      <c r="Z1629" s="241"/>
    </row>
    <row r="1630" spans="3:26" ht="16.5">
      <c r="C1630" s="101"/>
      <c r="D1630" s="101"/>
      <c r="E1630" s="101"/>
      <c r="F1630" s="101"/>
      <c r="G1630" s="101"/>
      <c r="H1630" s="101"/>
      <c r="I1630" s="101"/>
      <c r="J1630" s="101"/>
      <c r="S1630" s="101"/>
      <c r="T1630" s="241"/>
      <c r="U1630" s="241"/>
      <c r="V1630" s="241"/>
      <c r="W1630" s="241"/>
      <c r="X1630" s="241"/>
      <c r="Y1630" s="241"/>
      <c r="Z1630" s="241"/>
    </row>
    <row r="1631" spans="3:26" ht="16.5">
      <c r="C1631" s="101"/>
      <c r="D1631" s="101"/>
      <c r="E1631" s="101"/>
      <c r="F1631" s="101"/>
      <c r="G1631" s="101"/>
      <c r="H1631" s="101"/>
      <c r="I1631" s="101"/>
      <c r="J1631" s="101"/>
      <c r="S1631" s="101"/>
      <c r="T1631" s="241"/>
      <c r="U1631" s="241"/>
      <c r="V1631" s="241"/>
      <c r="W1631" s="241"/>
      <c r="X1631" s="241"/>
      <c r="Y1631" s="241"/>
      <c r="Z1631" s="241"/>
    </row>
    <row r="1632" spans="3:26" ht="16.5">
      <c r="C1632" s="101"/>
      <c r="D1632" s="101"/>
      <c r="E1632" s="101"/>
      <c r="F1632" s="101"/>
      <c r="G1632" s="101"/>
      <c r="H1632" s="101"/>
      <c r="I1632" s="101"/>
      <c r="J1632" s="101"/>
      <c r="S1632" s="101"/>
      <c r="T1632" s="241"/>
      <c r="U1632" s="241"/>
      <c r="V1632" s="241"/>
      <c r="W1632" s="241"/>
      <c r="X1632" s="241"/>
      <c r="Y1632" s="241"/>
      <c r="Z1632" s="241"/>
    </row>
    <row r="1633" spans="3:26" ht="16.5">
      <c r="C1633" s="101"/>
      <c r="D1633" s="101"/>
      <c r="E1633" s="101"/>
      <c r="F1633" s="101"/>
      <c r="G1633" s="101"/>
      <c r="H1633" s="101"/>
      <c r="I1633" s="101"/>
      <c r="J1633" s="101"/>
      <c r="S1633" s="101"/>
      <c r="T1633" s="241"/>
      <c r="U1633" s="241"/>
      <c r="V1633" s="241"/>
      <c r="W1633" s="241"/>
      <c r="X1633" s="241"/>
      <c r="Y1633" s="241"/>
      <c r="Z1633" s="241"/>
    </row>
    <row r="1634" spans="3:26" ht="16.5">
      <c r="C1634" s="101"/>
      <c r="D1634" s="101"/>
      <c r="E1634" s="101"/>
      <c r="F1634" s="101"/>
      <c r="G1634" s="101"/>
      <c r="H1634" s="101"/>
      <c r="I1634" s="101"/>
      <c r="J1634" s="101"/>
      <c r="S1634" s="101"/>
      <c r="T1634" s="241"/>
      <c r="U1634" s="241"/>
      <c r="V1634" s="241"/>
      <c r="W1634" s="241"/>
      <c r="X1634" s="241"/>
      <c r="Y1634" s="241"/>
      <c r="Z1634" s="241"/>
    </row>
    <row r="1635" spans="3:26" ht="16.5">
      <c r="C1635" s="101"/>
      <c r="D1635" s="101"/>
      <c r="E1635" s="101"/>
      <c r="F1635" s="101"/>
      <c r="G1635" s="101"/>
      <c r="H1635" s="101"/>
      <c r="I1635" s="101"/>
      <c r="J1635" s="101"/>
      <c r="S1635" s="101"/>
      <c r="T1635" s="241"/>
      <c r="U1635" s="241"/>
      <c r="V1635" s="241"/>
      <c r="W1635" s="241"/>
      <c r="X1635" s="241"/>
      <c r="Y1635" s="241"/>
      <c r="Z1635" s="241"/>
    </row>
    <row r="1636" spans="3:26" ht="16.5">
      <c r="C1636" s="101"/>
      <c r="D1636" s="101"/>
      <c r="E1636" s="101"/>
      <c r="F1636" s="101"/>
      <c r="G1636" s="101"/>
      <c r="H1636" s="101"/>
      <c r="I1636" s="101"/>
      <c r="J1636" s="101"/>
      <c r="S1636" s="101"/>
      <c r="T1636" s="241"/>
      <c r="U1636" s="241"/>
      <c r="V1636" s="241"/>
      <c r="W1636" s="241"/>
      <c r="X1636" s="241"/>
      <c r="Y1636" s="241"/>
      <c r="Z1636" s="241"/>
    </row>
    <row r="1637" spans="3:26" ht="16.5">
      <c r="C1637" s="101"/>
      <c r="D1637" s="101"/>
      <c r="E1637" s="101"/>
      <c r="F1637" s="101"/>
      <c r="G1637" s="101"/>
      <c r="H1637" s="101"/>
      <c r="I1637" s="101"/>
      <c r="J1637" s="101"/>
      <c r="S1637" s="101"/>
      <c r="T1637" s="241"/>
      <c r="U1637" s="241"/>
      <c r="V1637" s="241"/>
      <c r="W1637" s="241"/>
      <c r="X1637" s="241"/>
      <c r="Y1637" s="241"/>
      <c r="Z1637" s="241"/>
    </row>
    <row r="1638" spans="3:26" ht="16.5">
      <c r="C1638" s="101"/>
      <c r="D1638" s="101"/>
      <c r="E1638" s="101"/>
      <c r="F1638" s="101"/>
      <c r="G1638" s="101"/>
      <c r="H1638" s="101"/>
      <c r="I1638" s="101"/>
      <c r="J1638" s="101"/>
      <c r="S1638" s="101"/>
      <c r="T1638" s="241"/>
      <c r="U1638" s="241"/>
      <c r="V1638" s="241"/>
      <c r="W1638" s="241"/>
      <c r="X1638" s="241"/>
      <c r="Y1638" s="241"/>
      <c r="Z1638" s="241"/>
    </row>
    <row r="1639" spans="3:26" ht="16.5">
      <c r="C1639" s="101"/>
      <c r="D1639" s="101"/>
      <c r="E1639" s="101"/>
      <c r="F1639" s="101"/>
      <c r="G1639" s="101"/>
      <c r="H1639" s="101"/>
      <c r="I1639" s="101"/>
      <c r="J1639" s="101"/>
      <c r="S1639" s="101"/>
      <c r="T1639" s="241"/>
      <c r="U1639" s="241"/>
      <c r="V1639" s="241"/>
      <c r="W1639" s="241"/>
      <c r="X1639" s="241"/>
      <c r="Y1639" s="241"/>
      <c r="Z1639" s="241"/>
    </row>
    <row r="1640" spans="3:26" ht="16.5">
      <c r="C1640" s="101"/>
      <c r="D1640" s="101"/>
      <c r="E1640" s="101"/>
      <c r="F1640" s="101"/>
      <c r="G1640" s="101"/>
      <c r="H1640" s="101"/>
      <c r="I1640" s="101"/>
      <c r="J1640" s="101"/>
      <c r="S1640" s="101"/>
      <c r="T1640" s="241"/>
      <c r="U1640" s="241"/>
      <c r="V1640" s="241"/>
      <c r="W1640" s="241"/>
      <c r="X1640" s="241"/>
      <c r="Y1640" s="241"/>
      <c r="Z1640" s="241"/>
    </row>
    <row r="1641" spans="3:26" ht="16.5">
      <c r="C1641" s="101"/>
      <c r="D1641" s="101"/>
      <c r="E1641" s="101"/>
      <c r="F1641" s="101"/>
      <c r="G1641" s="101"/>
      <c r="H1641" s="101"/>
      <c r="I1641" s="101"/>
      <c r="J1641" s="101"/>
      <c r="S1641" s="101"/>
      <c r="T1641" s="241"/>
      <c r="U1641" s="241"/>
      <c r="V1641" s="241"/>
      <c r="W1641" s="241"/>
      <c r="X1641" s="241"/>
      <c r="Y1641" s="241"/>
      <c r="Z1641" s="241"/>
    </row>
    <row r="1642" spans="3:26" ht="16.5">
      <c r="C1642" s="101"/>
      <c r="D1642" s="101"/>
      <c r="E1642" s="101"/>
      <c r="F1642" s="101"/>
      <c r="G1642" s="101"/>
      <c r="H1642" s="101"/>
      <c r="I1642" s="101"/>
      <c r="J1642" s="101"/>
      <c r="S1642" s="101"/>
      <c r="T1642" s="241"/>
      <c r="U1642" s="241"/>
      <c r="V1642" s="241"/>
      <c r="W1642" s="241"/>
      <c r="X1642" s="241"/>
      <c r="Y1642" s="241"/>
      <c r="Z1642" s="241"/>
    </row>
    <row r="1643" spans="3:26" ht="16.5">
      <c r="C1643" s="101"/>
      <c r="D1643" s="101"/>
      <c r="E1643" s="101"/>
      <c r="F1643" s="101"/>
      <c r="G1643" s="101"/>
      <c r="H1643" s="101"/>
      <c r="I1643" s="101"/>
      <c r="J1643" s="101"/>
      <c r="S1643" s="101"/>
      <c r="T1643" s="241"/>
      <c r="U1643" s="241"/>
      <c r="V1643" s="241"/>
      <c r="W1643" s="241"/>
      <c r="X1643" s="241"/>
      <c r="Y1643" s="241"/>
      <c r="Z1643" s="241"/>
    </row>
    <row r="1644" spans="3:26" ht="16.5">
      <c r="C1644" s="101"/>
      <c r="D1644" s="101"/>
      <c r="E1644" s="101"/>
      <c r="F1644" s="101"/>
      <c r="G1644" s="101"/>
      <c r="H1644" s="101"/>
      <c r="I1644" s="101"/>
      <c r="J1644" s="101"/>
      <c r="S1644" s="101"/>
      <c r="T1644" s="241"/>
      <c r="U1644" s="241"/>
      <c r="V1644" s="241"/>
      <c r="W1644" s="241"/>
      <c r="X1644" s="241"/>
      <c r="Y1644" s="241"/>
      <c r="Z1644" s="241"/>
    </row>
    <row r="1645" spans="3:26" ht="16.5">
      <c r="C1645" s="101"/>
      <c r="D1645" s="101"/>
      <c r="E1645" s="101"/>
      <c r="F1645" s="101"/>
      <c r="G1645" s="101"/>
      <c r="H1645" s="101"/>
      <c r="I1645" s="101"/>
      <c r="J1645" s="101"/>
      <c r="S1645" s="101"/>
      <c r="T1645" s="241"/>
      <c r="U1645" s="241"/>
      <c r="V1645" s="241"/>
      <c r="W1645" s="241"/>
      <c r="X1645" s="241"/>
      <c r="Y1645" s="241"/>
      <c r="Z1645" s="241"/>
    </row>
    <row r="1646" spans="3:26" ht="16.5">
      <c r="C1646" s="101"/>
      <c r="D1646" s="101"/>
      <c r="E1646" s="101"/>
      <c r="F1646" s="101"/>
      <c r="G1646" s="101"/>
      <c r="H1646" s="101"/>
      <c r="I1646" s="101"/>
      <c r="J1646" s="101"/>
      <c r="S1646" s="101"/>
      <c r="T1646" s="241"/>
      <c r="U1646" s="241"/>
      <c r="V1646" s="241"/>
      <c r="W1646" s="241"/>
      <c r="X1646" s="241"/>
      <c r="Y1646" s="241"/>
      <c r="Z1646" s="241"/>
    </row>
    <row r="1647" spans="3:26" ht="16.5">
      <c r="C1647" s="101"/>
      <c r="D1647" s="101"/>
      <c r="E1647" s="101"/>
      <c r="F1647" s="101"/>
      <c r="G1647" s="101"/>
      <c r="H1647" s="101"/>
      <c r="I1647" s="101"/>
      <c r="J1647" s="101"/>
      <c r="S1647" s="101"/>
      <c r="T1647" s="241"/>
      <c r="U1647" s="241"/>
      <c r="V1647" s="241"/>
      <c r="W1647" s="241"/>
      <c r="X1647" s="241"/>
      <c r="Y1647" s="241"/>
      <c r="Z1647" s="241"/>
    </row>
    <row r="1648" spans="3:26" ht="16.5">
      <c r="C1648" s="101"/>
      <c r="D1648" s="101"/>
      <c r="E1648" s="101"/>
      <c r="F1648" s="101"/>
      <c r="G1648" s="101"/>
      <c r="H1648" s="101"/>
      <c r="I1648" s="101"/>
      <c r="J1648" s="101"/>
      <c r="S1648" s="101"/>
      <c r="T1648" s="241"/>
      <c r="U1648" s="241"/>
      <c r="V1648" s="241"/>
      <c r="W1648" s="241"/>
      <c r="X1648" s="241"/>
      <c r="Y1648" s="241"/>
      <c r="Z1648" s="241"/>
    </row>
    <row r="1649" spans="3:26" ht="16.5">
      <c r="C1649" s="101"/>
      <c r="D1649" s="101"/>
      <c r="E1649" s="101"/>
      <c r="F1649" s="101"/>
      <c r="G1649" s="101"/>
      <c r="H1649" s="101"/>
      <c r="I1649" s="101"/>
      <c r="J1649" s="101"/>
      <c r="S1649" s="101"/>
      <c r="T1649" s="241"/>
      <c r="U1649" s="241"/>
      <c r="V1649" s="241"/>
      <c r="W1649" s="241"/>
      <c r="X1649" s="241"/>
      <c r="Y1649" s="241"/>
      <c r="Z1649" s="241"/>
    </row>
    <row r="1650" spans="3:26" ht="16.5">
      <c r="C1650" s="101"/>
      <c r="D1650" s="101"/>
      <c r="E1650" s="101"/>
      <c r="F1650" s="101"/>
      <c r="G1650" s="101"/>
      <c r="H1650" s="101"/>
      <c r="I1650" s="101"/>
      <c r="J1650" s="101"/>
      <c r="S1650" s="101"/>
      <c r="T1650" s="241"/>
      <c r="U1650" s="241"/>
      <c r="V1650" s="241"/>
      <c r="W1650" s="241"/>
      <c r="X1650" s="241"/>
      <c r="Y1650" s="241"/>
      <c r="Z1650" s="241"/>
    </row>
    <row r="1651" spans="3:26" ht="16.5">
      <c r="C1651" s="101"/>
      <c r="D1651" s="101"/>
      <c r="E1651" s="101"/>
      <c r="F1651" s="101"/>
      <c r="G1651" s="101"/>
      <c r="H1651" s="101"/>
      <c r="I1651" s="101"/>
      <c r="J1651" s="101"/>
      <c r="S1651" s="101"/>
      <c r="T1651" s="241"/>
      <c r="U1651" s="241"/>
      <c r="V1651" s="241"/>
      <c r="W1651" s="241"/>
      <c r="X1651" s="241"/>
      <c r="Y1651" s="241"/>
      <c r="Z1651" s="241"/>
    </row>
    <row r="1652" spans="3:26" ht="16.5">
      <c r="C1652" s="101"/>
      <c r="D1652" s="101"/>
      <c r="E1652" s="101"/>
      <c r="F1652" s="101"/>
      <c r="G1652" s="101"/>
      <c r="H1652" s="101"/>
      <c r="I1652" s="101"/>
      <c r="J1652" s="101"/>
      <c r="S1652" s="101"/>
      <c r="T1652" s="241"/>
      <c r="U1652" s="241"/>
      <c r="V1652" s="241"/>
      <c r="W1652" s="241"/>
      <c r="X1652" s="241"/>
      <c r="Y1652" s="241"/>
      <c r="Z1652" s="241"/>
    </row>
    <row r="1653" spans="3:26" ht="16.5">
      <c r="C1653" s="101"/>
      <c r="D1653" s="101"/>
      <c r="E1653" s="101"/>
      <c r="F1653" s="101"/>
      <c r="G1653" s="101"/>
      <c r="H1653" s="101"/>
      <c r="I1653" s="101"/>
      <c r="J1653" s="101"/>
      <c r="S1653" s="101"/>
      <c r="T1653" s="241"/>
      <c r="U1653" s="241"/>
      <c r="V1653" s="241"/>
      <c r="W1653" s="241"/>
      <c r="X1653" s="241"/>
      <c r="Y1653" s="241"/>
      <c r="Z1653" s="241"/>
    </row>
    <row r="1654" spans="3:26" ht="16.5">
      <c r="C1654" s="101"/>
      <c r="D1654" s="101"/>
      <c r="E1654" s="101"/>
      <c r="F1654" s="101"/>
      <c r="G1654" s="101"/>
      <c r="H1654" s="101"/>
      <c r="I1654" s="101"/>
      <c r="J1654" s="101"/>
      <c r="S1654" s="101"/>
      <c r="T1654" s="241"/>
      <c r="U1654" s="241"/>
      <c r="V1654" s="241"/>
      <c r="W1654" s="241"/>
      <c r="X1654" s="241"/>
      <c r="Y1654" s="241"/>
      <c r="Z1654" s="241"/>
    </row>
    <row r="1655" spans="3:26" ht="16.5">
      <c r="C1655" s="101"/>
      <c r="D1655" s="101"/>
      <c r="E1655" s="101"/>
      <c r="F1655" s="101"/>
      <c r="G1655" s="101"/>
      <c r="H1655" s="101"/>
      <c r="I1655" s="101"/>
      <c r="J1655" s="101"/>
      <c r="S1655" s="101"/>
      <c r="T1655" s="241"/>
      <c r="U1655" s="241"/>
      <c r="V1655" s="241"/>
      <c r="W1655" s="241"/>
      <c r="X1655" s="241"/>
      <c r="Y1655" s="241"/>
      <c r="Z1655" s="241"/>
    </row>
    <row r="1656" spans="3:26" ht="16.5">
      <c r="C1656" s="101"/>
      <c r="D1656" s="101"/>
      <c r="E1656" s="101"/>
      <c r="F1656" s="101"/>
      <c r="G1656" s="101"/>
      <c r="H1656" s="101"/>
      <c r="I1656" s="101"/>
      <c r="J1656" s="101"/>
      <c r="S1656" s="101"/>
      <c r="T1656" s="241"/>
      <c r="U1656" s="241"/>
      <c r="V1656" s="241"/>
      <c r="W1656" s="241"/>
      <c r="X1656" s="241"/>
      <c r="Y1656" s="241"/>
      <c r="Z1656" s="241"/>
    </row>
    <row r="1657" spans="3:26" ht="16.5">
      <c r="C1657" s="101"/>
      <c r="D1657" s="101"/>
      <c r="E1657" s="101"/>
      <c r="F1657" s="101"/>
      <c r="G1657" s="101"/>
      <c r="H1657" s="101"/>
      <c r="I1657" s="101"/>
      <c r="J1657" s="101"/>
      <c r="S1657" s="101"/>
      <c r="T1657" s="241"/>
      <c r="U1657" s="241"/>
      <c r="V1657" s="241"/>
      <c r="W1657" s="241"/>
      <c r="X1657" s="241"/>
      <c r="Y1657" s="241"/>
      <c r="Z1657" s="241"/>
    </row>
    <row r="1658" spans="3:26" ht="16.5">
      <c r="C1658" s="101"/>
      <c r="D1658" s="101"/>
      <c r="E1658" s="101"/>
      <c r="F1658" s="101"/>
      <c r="G1658" s="101"/>
      <c r="H1658" s="101"/>
      <c r="I1658" s="101"/>
      <c r="J1658" s="101"/>
      <c r="S1658" s="101"/>
      <c r="T1658" s="241"/>
      <c r="U1658" s="241"/>
      <c r="V1658" s="241"/>
      <c r="W1658" s="241"/>
      <c r="X1658" s="241"/>
      <c r="Y1658" s="241"/>
      <c r="Z1658" s="241"/>
    </row>
    <row r="1659" spans="3:26" ht="16.5">
      <c r="C1659" s="101"/>
      <c r="D1659" s="101"/>
      <c r="E1659" s="101"/>
      <c r="F1659" s="101"/>
      <c r="G1659" s="101"/>
      <c r="H1659" s="101"/>
      <c r="I1659" s="101"/>
      <c r="J1659" s="101"/>
      <c r="S1659" s="101"/>
      <c r="T1659" s="241"/>
      <c r="U1659" s="241"/>
      <c r="V1659" s="241"/>
      <c r="W1659" s="241"/>
      <c r="X1659" s="241"/>
      <c r="Y1659" s="241"/>
      <c r="Z1659" s="241"/>
    </row>
    <row r="1660" spans="3:26" ht="16.5">
      <c r="C1660" s="101"/>
      <c r="D1660" s="101"/>
      <c r="E1660" s="101"/>
      <c r="F1660" s="101"/>
      <c r="G1660" s="101"/>
      <c r="H1660" s="101"/>
      <c r="I1660" s="101"/>
      <c r="J1660" s="101"/>
      <c r="S1660" s="101"/>
      <c r="T1660" s="241"/>
      <c r="U1660" s="241"/>
      <c r="V1660" s="241"/>
      <c r="W1660" s="241"/>
      <c r="X1660" s="241"/>
      <c r="Y1660" s="241"/>
      <c r="Z1660" s="241"/>
    </row>
    <row r="1661" spans="3:26" ht="16.5">
      <c r="C1661" s="101"/>
      <c r="D1661" s="101"/>
      <c r="E1661" s="101"/>
      <c r="F1661" s="101"/>
      <c r="G1661" s="101"/>
      <c r="H1661" s="101"/>
      <c r="I1661" s="101"/>
      <c r="J1661" s="101"/>
      <c r="S1661" s="101"/>
      <c r="T1661" s="241"/>
      <c r="U1661" s="241"/>
      <c r="V1661" s="241"/>
      <c r="W1661" s="241"/>
      <c r="X1661" s="241"/>
      <c r="Y1661" s="241"/>
      <c r="Z1661" s="241"/>
    </row>
    <row r="1662" spans="3:26" ht="16.5">
      <c r="C1662" s="101"/>
      <c r="D1662" s="101"/>
      <c r="E1662" s="101"/>
      <c r="F1662" s="101"/>
      <c r="G1662" s="101"/>
      <c r="H1662" s="101"/>
      <c r="I1662" s="101"/>
      <c r="J1662" s="101"/>
      <c r="S1662" s="101"/>
      <c r="T1662" s="241"/>
      <c r="U1662" s="241"/>
      <c r="V1662" s="241"/>
      <c r="W1662" s="241"/>
      <c r="X1662" s="241"/>
      <c r="Y1662" s="241"/>
      <c r="Z1662" s="241"/>
    </row>
    <row r="1663" spans="3:26" ht="16.5">
      <c r="C1663" s="101"/>
      <c r="D1663" s="101"/>
      <c r="E1663" s="101"/>
      <c r="F1663" s="101"/>
      <c r="G1663" s="101"/>
      <c r="H1663" s="101"/>
      <c r="I1663" s="101"/>
      <c r="J1663" s="101"/>
      <c r="S1663" s="101"/>
      <c r="T1663" s="241"/>
      <c r="U1663" s="241"/>
      <c r="V1663" s="241"/>
      <c r="W1663" s="241"/>
      <c r="X1663" s="241"/>
      <c r="Y1663" s="241"/>
      <c r="Z1663" s="241"/>
    </row>
    <row r="1664" spans="3:26" ht="16.5">
      <c r="C1664" s="101"/>
      <c r="D1664" s="101"/>
      <c r="E1664" s="101"/>
      <c r="F1664" s="101"/>
      <c r="G1664" s="101"/>
      <c r="H1664" s="101"/>
      <c r="I1664" s="101"/>
      <c r="J1664" s="101"/>
      <c r="S1664" s="101"/>
      <c r="T1664" s="241"/>
      <c r="U1664" s="241"/>
      <c r="V1664" s="241"/>
      <c r="W1664" s="241"/>
      <c r="X1664" s="241"/>
      <c r="Y1664" s="241"/>
      <c r="Z1664" s="241"/>
    </row>
    <row r="1665" spans="3:26" ht="16.5">
      <c r="C1665" s="101"/>
      <c r="D1665" s="101"/>
      <c r="E1665" s="101"/>
      <c r="F1665" s="101"/>
      <c r="G1665" s="101"/>
      <c r="H1665" s="101"/>
      <c r="I1665" s="101"/>
      <c r="J1665" s="101"/>
      <c r="S1665" s="101"/>
      <c r="T1665" s="241"/>
      <c r="U1665" s="241"/>
      <c r="V1665" s="241"/>
      <c r="W1665" s="241"/>
      <c r="X1665" s="241"/>
      <c r="Y1665" s="241"/>
      <c r="Z1665" s="241"/>
    </row>
    <row r="1666" spans="3:26" ht="16.5">
      <c r="C1666" s="101"/>
      <c r="D1666" s="101"/>
      <c r="E1666" s="101"/>
      <c r="F1666" s="101"/>
      <c r="G1666" s="101"/>
      <c r="H1666" s="101"/>
      <c r="I1666" s="101"/>
      <c r="J1666" s="101"/>
      <c r="S1666" s="101"/>
      <c r="T1666" s="241"/>
      <c r="U1666" s="241"/>
      <c r="V1666" s="241"/>
      <c r="W1666" s="241"/>
      <c r="X1666" s="241"/>
      <c r="Y1666" s="241"/>
      <c r="Z1666" s="241"/>
    </row>
    <row r="1667" spans="3:26" ht="16.5">
      <c r="C1667" s="101"/>
      <c r="D1667" s="101"/>
      <c r="E1667" s="101"/>
      <c r="F1667" s="101"/>
      <c r="G1667" s="101"/>
      <c r="H1667" s="101"/>
      <c r="I1667" s="101"/>
      <c r="J1667" s="101"/>
      <c r="S1667" s="101"/>
      <c r="T1667" s="241"/>
      <c r="U1667" s="241"/>
      <c r="V1667" s="241"/>
      <c r="W1667" s="241"/>
      <c r="X1667" s="241"/>
      <c r="Y1667" s="241"/>
      <c r="Z1667" s="241"/>
    </row>
  </sheetData>
  <sheetProtection/>
  <mergeCells count="3">
    <mergeCell ref="A2:AB2"/>
    <mergeCell ref="C4:L4"/>
    <mergeCell ref="B151:K151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R1661"/>
  <sheetViews>
    <sheetView view="pageBreakPreview" zoomScaleSheetLayoutView="100" zoomScalePageLayoutView="0" workbookViewId="0" topLeftCell="A4">
      <selection activeCell="J19" sqref="H19:J19"/>
    </sheetView>
  </sheetViews>
  <sheetFormatPr defaultColWidth="9.140625" defaultRowHeight="12.75"/>
  <cols>
    <col min="1" max="1" width="6.8515625" style="27" customWidth="1"/>
    <col min="2" max="2" width="41.8515625" style="8" customWidth="1"/>
    <col min="3" max="3" width="12.421875" style="8" customWidth="1"/>
    <col min="4" max="4" width="12.140625" style="8" customWidth="1"/>
    <col min="5" max="5" width="10.57421875" style="8" customWidth="1"/>
    <col min="6" max="6" width="10.28125" style="8" customWidth="1"/>
    <col min="7" max="7" width="10.00390625" style="8" customWidth="1"/>
    <col min="8" max="8" width="10.8515625" style="8" customWidth="1"/>
    <col min="9" max="9" width="11.00390625" style="8" customWidth="1"/>
    <col min="10" max="10" width="10.28125" style="8" customWidth="1"/>
    <col min="11" max="11" width="12.00390625" style="2" customWidth="1"/>
    <col min="12" max="12" width="12.421875" style="2" customWidth="1"/>
    <col min="13" max="17" width="0" style="3" hidden="1" customWidth="1"/>
    <col min="18" max="18" width="11.421875" style="3" bestFit="1" customWidth="1"/>
    <col min="19" max="16384" width="9.140625" style="3" customWidth="1"/>
  </cols>
  <sheetData>
    <row r="2" spans="1:12" s="1" customFormat="1" ht="28.5" customHeight="1">
      <c r="A2" s="288" t="s">
        <v>234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ht="6.75" customHeight="1"/>
    <row r="4" spans="9:11" ht="33" customHeight="1">
      <c r="I4" s="291" t="s">
        <v>3</v>
      </c>
      <c r="J4" s="291"/>
      <c r="K4" s="291"/>
    </row>
    <row r="5" spans="1:12" s="5" customFormat="1" ht="80.25" customHeight="1">
      <c r="A5" s="4" t="s">
        <v>224</v>
      </c>
      <c r="B5" s="4" t="s">
        <v>60</v>
      </c>
      <c r="C5" s="73" t="s">
        <v>289</v>
      </c>
      <c r="D5" s="73" t="s">
        <v>235</v>
      </c>
      <c r="E5" s="73" t="s">
        <v>236</v>
      </c>
      <c r="F5" s="73" t="s">
        <v>237</v>
      </c>
      <c r="G5" s="73" t="s">
        <v>238</v>
      </c>
      <c r="H5" s="73" t="s">
        <v>239</v>
      </c>
      <c r="I5" s="73" t="s">
        <v>240</v>
      </c>
      <c r="J5" s="73" t="s">
        <v>241</v>
      </c>
      <c r="K5" s="4" t="s">
        <v>290</v>
      </c>
      <c r="L5" s="4" t="s">
        <v>291</v>
      </c>
    </row>
    <row r="6" spans="1:12" s="5" customFormat="1" ht="36.75" customHeight="1">
      <c r="A6" s="4"/>
      <c r="B6" s="4"/>
      <c r="C6" s="73"/>
      <c r="D6" s="73"/>
      <c r="E6" s="73"/>
      <c r="F6" s="73"/>
      <c r="G6" s="73"/>
      <c r="H6" s="73"/>
      <c r="I6" s="73"/>
      <c r="J6" s="73"/>
      <c r="K6" s="4"/>
      <c r="L6" s="4"/>
    </row>
    <row r="7" spans="1:12" s="25" customFormat="1" ht="36" customHeight="1">
      <c r="A7" s="56" t="s">
        <v>61</v>
      </c>
      <c r="B7" s="75" t="s">
        <v>62</v>
      </c>
      <c r="C7" s="102">
        <f aca="true" t="shared" si="0" ref="C7:J7">C8+C9+C10+C13+C17+C18+C19</f>
        <v>57290.8</v>
      </c>
      <c r="D7" s="76">
        <f>D8+D9+D10+D13+D17+D18+D19</f>
        <v>1827.3000000000002</v>
      </c>
      <c r="E7" s="76">
        <f t="shared" si="0"/>
        <v>2003.8</v>
      </c>
      <c r="F7" s="76">
        <f t="shared" si="0"/>
        <v>2145.7</v>
      </c>
      <c r="G7" s="76">
        <f t="shared" si="0"/>
        <v>1689.1</v>
      </c>
      <c r="H7" s="76">
        <f t="shared" si="0"/>
        <v>2576.7999999999997</v>
      </c>
      <c r="I7" s="76">
        <f t="shared" si="0"/>
        <v>1896.9</v>
      </c>
      <c r="J7" s="76">
        <f t="shared" si="0"/>
        <v>1849.4</v>
      </c>
      <c r="K7" s="102">
        <f>K8+K9+K10+K13+K17+K18+K19</f>
        <v>13989</v>
      </c>
      <c r="L7" s="103">
        <f>C7+K7-L15</f>
        <v>71111</v>
      </c>
    </row>
    <row r="8" spans="1:12" ht="30.75" customHeight="1">
      <c r="A8" s="56" t="s">
        <v>63</v>
      </c>
      <c r="B8" s="63" t="s">
        <v>64</v>
      </c>
      <c r="C8" s="102">
        <f>1755</f>
        <v>1755</v>
      </c>
      <c r="D8" s="76"/>
      <c r="E8" s="76"/>
      <c r="F8" s="76"/>
      <c r="G8" s="76"/>
      <c r="H8" s="76"/>
      <c r="I8" s="76"/>
      <c r="J8" s="76"/>
      <c r="K8" s="102">
        <f>0</f>
        <v>0</v>
      </c>
      <c r="L8" s="76">
        <f aca="true" t="shared" si="1" ref="L8:L76">C8+K8</f>
        <v>1755</v>
      </c>
    </row>
    <row r="9" spans="1:12" ht="30" customHeight="1">
      <c r="A9" s="56" t="s">
        <v>65</v>
      </c>
      <c r="B9" s="63" t="s">
        <v>243</v>
      </c>
      <c r="C9" s="102">
        <f>0</f>
        <v>0</v>
      </c>
      <c r="D9" s="76">
        <f>979</f>
        <v>979</v>
      </c>
      <c r="E9" s="76">
        <v>0</v>
      </c>
      <c r="F9" s="76"/>
      <c r="G9" s="76"/>
      <c r="H9" s="76"/>
      <c r="I9" s="76"/>
      <c r="J9" s="76"/>
      <c r="K9" s="102">
        <f aca="true" t="shared" si="2" ref="K9:K27">D9+E9+F9+G9+H9+I9+J9</f>
        <v>979</v>
      </c>
      <c r="L9" s="76">
        <f t="shared" si="1"/>
        <v>979</v>
      </c>
    </row>
    <row r="10" spans="1:12" ht="26.25" customHeight="1">
      <c r="A10" s="56" t="s">
        <v>67</v>
      </c>
      <c r="B10" s="63" t="s">
        <v>244</v>
      </c>
      <c r="C10" s="102">
        <f>C11</f>
        <v>24111.6</v>
      </c>
      <c r="D10" s="76">
        <f aca="true" t="shared" si="3" ref="D10:J10">D11+D12</f>
        <v>0</v>
      </c>
      <c r="E10" s="76">
        <f t="shared" si="3"/>
        <v>1960.5</v>
      </c>
      <c r="F10" s="76">
        <f t="shared" si="3"/>
        <v>2100.1</v>
      </c>
      <c r="G10" s="76">
        <f t="shared" si="3"/>
        <v>1652.6</v>
      </c>
      <c r="H10" s="76">
        <f t="shared" si="3"/>
        <v>2525.6</v>
      </c>
      <c r="I10" s="76">
        <f t="shared" si="3"/>
        <v>1857.7</v>
      </c>
      <c r="J10" s="76">
        <f t="shared" si="3"/>
        <v>1807.7</v>
      </c>
      <c r="K10" s="102">
        <f t="shared" si="2"/>
        <v>11904.2</v>
      </c>
      <c r="L10" s="76">
        <f t="shared" si="1"/>
        <v>36015.8</v>
      </c>
    </row>
    <row r="11" spans="1:12" ht="24.75" customHeight="1">
      <c r="A11" s="56"/>
      <c r="B11" s="63" t="s">
        <v>245</v>
      </c>
      <c r="C11" s="102">
        <f>24111.6</f>
        <v>24111.6</v>
      </c>
      <c r="D11" s="76">
        <v>0</v>
      </c>
      <c r="E11" s="76">
        <f>1960.5</f>
        <v>1960.5</v>
      </c>
      <c r="F11" s="76">
        <f>2100.1</f>
        <v>2100.1</v>
      </c>
      <c r="G11" s="76">
        <f>1652.6</f>
        <v>1652.6</v>
      </c>
      <c r="H11" s="76">
        <f>2525.6</f>
        <v>2525.6</v>
      </c>
      <c r="I11" s="76">
        <f>1857.7</f>
        <v>1857.7</v>
      </c>
      <c r="J11" s="76">
        <f>1807.7</f>
        <v>1807.7</v>
      </c>
      <c r="K11" s="102">
        <f t="shared" si="2"/>
        <v>11904.2</v>
      </c>
      <c r="L11" s="76">
        <f t="shared" si="1"/>
        <v>36015.8</v>
      </c>
    </row>
    <row r="12" spans="1:12" ht="16.5">
      <c r="A12" s="104"/>
      <c r="B12" s="81" t="s">
        <v>68</v>
      </c>
      <c r="C12" s="102">
        <f>0</f>
        <v>0</v>
      </c>
      <c r="D12" s="84">
        <v>0</v>
      </c>
      <c r="E12" s="84"/>
      <c r="F12" s="84"/>
      <c r="G12" s="84"/>
      <c r="H12" s="84"/>
      <c r="I12" s="84"/>
      <c r="J12" s="84"/>
      <c r="K12" s="102">
        <f t="shared" si="2"/>
        <v>0</v>
      </c>
      <c r="L12" s="84">
        <f t="shared" si="1"/>
        <v>0</v>
      </c>
    </row>
    <row r="13" spans="1:12" ht="25.5" customHeight="1">
      <c r="A13" s="56" t="s">
        <v>70</v>
      </c>
      <c r="B13" s="63" t="s">
        <v>246</v>
      </c>
      <c r="C13" s="102">
        <f>7181.3</f>
        <v>7181.3</v>
      </c>
      <c r="D13" s="76">
        <v>0</v>
      </c>
      <c r="E13" s="76">
        <f aca="true" t="shared" si="4" ref="E13:J13">E14+E15</f>
        <v>28.6</v>
      </c>
      <c r="F13" s="76">
        <f t="shared" si="4"/>
        <v>31.2</v>
      </c>
      <c r="G13" s="76">
        <f t="shared" si="4"/>
        <v>22</v>
      </c>
      <c r="H13" s="76">
        <f t="shared" si="4"/>
        <v>36</v>
      </c>
      <c r="I13" s="76">
        <f t="shared" si="4"/>
        <v>24</v>
      </c>
      <c r="J13" s="76">
        <f t="shared" si="4"/>
        <v>27</v>
      </c>
      <c r="K13" s="102">
        <f t="shared" si="2"/>
        <v>168.8</v>
      </c>
      <c r="L13" s="76">
        <f>C13+K13</f>
        <v>7350.1</v>
      </c>
    </row>
    <row r="14" spans="1:12" ht="21" customHeight="1">
      <c r="A14" s="56"/>
      <c r="B14" s="63" t="s">
        <v>247</v>
      </c>
      <c r="C14" s="102">
        <f>6472.8</f>
        <v>6472.8</v>
      </c>
      <c r="D14" s="76">
        <v>0</v>
      </c>
      <c r="E14" s="76">
        <v>0</v>
      </c>
      <c r="F14" s="76"/>
      <c r="G14" s="76"/>
      <c r="H14" s="76"/>
      <c r="I14" s="76"/>
      <c r="J14" s="76"/>
      <c r="K14" s="102">
        <f t="shared" si="2"/>
        <v>0</v>
      </c>
      <c r="L14" s="76">
        <f t="shared" si="1"/>
        <v>6472.8</v>
      </c>
    </row>
    <row r="15" spans="1:12" ht="39" customHeight="1">
      <c r="A15" s="104"/>
      <c r="B15" s="81" t="s">
        <v>248</v>
      </c>
      <c r="C15" s="102"/>
      <c r="D15" s="84">
        <v>0</v>
      </c>
      <c r="E15" s="84">
        <f>28.6</f>
        <v>28.6</v>
      </c>
      <c r="F15" s="84">
        <f>31.2</f>
        <v>31.2</v>
      </c>
      <c r="G15" s="84">
        <f>22</f>
        <v>22</v>
      </c>
      <c r="H15" s="84">
        <f>36</f>
        <v>36</v>
      </c>
      <c r="I15" s="84">
        <f>24</f>
        <v>24</v>
      </c>
      <c r="J15" s="84">
        <f>27</f>
        <v>27</v>
      </c>
      <c r="K15" s="102">
        <f t="shared" si="2"/>
        <v>168.8</v>
      </c>
      <c r="L15" s="103">
        <f>C15+K15</f>
        <v>168.8</v>
      </c>
    </row>
    <row r="16" spans="1:12" ht="20.25" customHeight="1">
      <c r="A16" s="56"/>
      <c r="B16" s="63" t="s">
        <v>73</v>
      </c>
      <c r="C16" s="102">
        <f>708.5</f>
        <v>708.5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102">
        <f t="shared" si="2"/>
        <v>0</v>
      </c>
      <c r="L16" s="76">
        <f t="shared" si="1"/>
        <v>708.5</v>
      </c>
    </row>
    <row r="17" spans="1:12" ht="33">
      <c r="A17" s="56" t="s">
        <v>74</v>
      </c>
      <c r="B17" s="63" t="s">
        <v>75</v>
      </c>
      <c r="C17" s="102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102">
        <f t="shared" si="2"/>
        <v>0</v>
      </c>
      <c r="L17" s="76">
        <f t="shared" si="1"/>
        <v>0</v>
      </c>
    </row>
    <row r="18" spans="1:12" ht="27" customHeight="1">
      <c r="A18" s="56" t="s">
        <v>76</v>
      </c>
      <c r="B18" s="63" t="s">
        <v>77</v>
      </c>
      <c r="C18" s="102">
        <f>500</f>
        <v>500</v>
      </c>
      <c r="D18" s="76">
        <f>50</f>
        <v>50</v>
      </c>
      <c r="E18" s="76">
        <v>10</v>
      </c>
      <c r="F18" s="76">
        <v>10</v>
      </c>
      <c r="G18" s="76">
        <v>10</v>
      </c>
      <c r="H18" s="76">
        <v>10</v>
      </c>
      <c r="I18" s="76">
        <v>10</v>
      </c>
      <c r="J18" s="76">
        <v>10</v>
      </c>
      <c r="K18" s="102">
        <f t="shared" si="2"/>
        <v>110</v>
      </c>
      <c r="L18" s="76">
        <f t="shared" si="1"/>
        <v>610</v>
      </c>
    </row>
    <row r="19" spans="1:12" ht="33.75" customHeight="1">
      <c r="A19" s="56" t="s">
        <v>78</v>
      </c>
      <c r="B19" s="63" t="s">
        <v>79</v>
      </c>
      <c r="C19" s="102">
        <f>C20+C21+C22+C23+C24+C25+C26+C27+C28</f>
        <v>23742.9</v>
      </c>
      <c r="D19" s="76">
        <f aca="true" t="shared" si="5" ref="D19:J19">D20+D21+D22+D23+D24+D25+D26+D27+D28</f>
        <v>798.3000000000001</v>
      </c>
      <c r="E19" s="76">
        <f t="shared" si="5"/>
        <v>4.7</v>
      </c>
      <c r="F19" s="76">
        <f t="shared" si="5"/>
        <v>4.4</v>
      </c>
      <c r="G19" s="76">
        <f t="shared" si="5"/>
        <v>4.5</v>
      </c>
      <c r="H19" s="76">
        <f t="shared" si="5"/>
        <v>5.2</v>
      </c>
      <c r="I19" s="76">
        <f t="shared" si="5"/>
        <v>5.2</v>
      </c>
      <c r="J19" s="76">
        <f t="shared" si="5"/>
        <v>4.7</v>
      </c>
      <c r="K19" s="102">
        <f>K20+K21+K22+K23+K24+K25+K26+K27+K28</f>
        <v>827</v>
      </c>
      <c r="L19" s="76">
        <f>C19+K19</f>
        <v>24569.9</v>
      </c>
    </row>
    <row r="20" spans="1:12" ht="21.75" customHeight="1">
      <c r="A20" s="56"/>
      <c r="B20" s="63" t="s">
        <v>292</v>
      </c>
      <c r="C20" s="102">
        <f>5238.8</f>
        <v>5238.8</v>
      </c>
      <c r="D20" s="76"/>
      <c r="E20" s="76">
        <v>0</v>
      </c>
      <c r="F20" s="76"/>
      <c r="G20" s="76"/>
      <c r="H20" s="76">
        <v>0</v>
      </c>
      <c r="I20" s="76"/>
      <c r="J20" s="76"/>
      <c r="K20" s="102">
        <f t="shared" si="2"/>
        <v>0</v>
      </c>
      <c r="L20" s="76">
        <f t="shared" si="1"/>
        <v>5238.8</v>
      </c>
    </row>
    <row r="21" spans="1:12" ht="16.5">
      <c r="A21" s="56"/>
      <c r="B21" s="63" t="s">
        <v>249</v>
      </c>
      <c r="C21" s="102">
        <f>2552</f>
        <v>2552</v>
      </c>
      <c r="D21" s="76">
        <v>0</v>
      </c>
      <c r="E21" s="76">
        <v>0</v>
      </c>
      <c r="F21" s="76"/>
      <c r="G21" s="76"/>
      <c r="H21" s="76">
        <v>0</v>
      </c>
      <c r="I21" s="76"/>
      <c r="J21" s="76"/>
      <c r="K21" s="102">
        <f t="shared" si="2"/>
        <v>0</v>
      </c>
      <c r="L21" s="76">
        <f t="shared" si="1"/>
        <v>2552</v>
      </c>
    </row>
    <row r="22" spans="1:12" ht="24" customHeight="1">
      <c r="A22" s="56"/>
      <c r="B22" s="63" t="s">
        <v>250</v>
      </c>
      <c r="C22" s="102">
        <v>0</v>
      </c>
      <c r="D22" s="76">
        <f>561.2</f>
        <v>561.2</v>
      </c>
      <c r="E22" s="76">
        <v>0</v>
      </c>
      <c r="F22" s="76"/>
      <c r="G22" s="76"/>
      <c r="H22" s="76"/>
      <c r="I22" s="76"/>
      <c r="J22" s="76"/>
      <c r="K22" s="102">
        <f t="shared" si="2"/>
        <v>561.2</v>
      </c>
      <c r="L22" s="76">
        <f t="shared" si="1"/>
        <v>561.2</v>
      </c>
    </row>
    <row r="23" spans="1:12" ht="22.5" customHeight="1">
      <c r="A23" s="56"/>
      <c r="B23" s="63" t="s">
        <v>82</v>
      </c>
      <c r="C23" s="102">
        <f>60</f>
        <v>60</v>
      </c>
      <c r="D23" s="76">
        <f>27.1</f>
        <v>27.1</v>
      </c>
      <c r="E23" s="76">
        <f>4.7</f>
        <v>4.7</v>
      </c>
      <c r="F23" s="76">
        <v>4.4</v>
      </c>
      <c r="G23" s="76">
        <v>4.5</v>
      </c>
      <c r="H23" s="76">
        <v>5.2</v>
      </c>
      <c r="I23" s="76">
        <v>5.2</v>
      </c>
      <c r="J23" s="76">
        <f>4.7</f>
        <v>4.7</v>
      </c>
      <c r="K23" s="102">
        <f t="shared" si="2"/>
        <v>55.80000000000001</v>
      </c>
      <c r="L23" s="76">
        <f t="shared" si="1"/>
        <v>115.80000000000001</v>
      </c>
    </row>
    <row r="24" spans="1:12" ht="16.5" hidden="1">
      <c r="A24" s="56"/>
      <c r="B24" s="63" t="s">
        <v>83</v>
      </c>
      <c r="C24" s="102">
        <v>0</v>
      </c>
      <c r="D24" s="76"/>
      <c r="E24" s="76"/>
      <c r="F24" s="76"/>
      <c r="G24" s="76"/>
      <c r="H24" s="76"/>
      <c r="I24" s="76"/>
      <c r="J24" s="76"/>
      <c r="K24" s="102">
        <f t="shared" si="2"/>
        <v>0</v>
      </c>
      <c r="L24" s="76">
        <f t="shared" si="1"/>
        <v>0</v>
      </c>
    </row>
    <row r="25" spans="1:12" ht="48" customHeight="1">
      <c r="A25" s="56"/>
      <c r="B25" s="63" t="s">
        <v>293</v>
      </c>
      <c r="C25" s="102">
        <f>11700</f>
        <v>11700</v>
      </c>
      <c r="D25" s="76">
        <f>0</f>
        <v>0</v>
      </c>
      <c r="E25" s="76"/>
      <c r="F25" s="76"/>
      <c r="G25" s="76"/>
      <c r="H25" s="76"/>
      <c r="I25" s="76"/>
      <c r="J25" s="76"/>
      <c r="K25" s="102">
        <f t="shared" si="2"/>
        <v>0</v>
      </c>
      <c r="L25" s="76">
        <f t="shared" si="1"/>
        <v>11700</v>
      </c>
    </row>
    <row r="26" spans="1:12" ht="49.5">
      <c r="A26" s="56"/>
      <c r="B26" s="63" t="s">
        <v>251</v>
      </c>
      <c r="C26" s="102">
        <f>4192.1</f>
        <v>4192.1</v>
      </c>
      <c r="D26" s="76">
        <f>0</f>
        <v>0</v>
      </c>
      <c r="E26" s="76"/>
      <c r="F26" s="76"/>
      <c r="G26" s="76"/>
      <c r="H26" s="76"/>
      <c r="I26" s="76"/>
      <c r="J26" s="76"/>
      <c r="K26" s="102">
        <f t="shared" si="2"/>
        <v>0</v>
      </c>
      <c r="L26" s="76">
        <f t="shared" si="1"/>
        <v>4192.1</v>
      </c>
    </row>
    <row r="27" spans="1:12" ht="33">
      <c r="A27" s="56"/>
      <c r="B27" s="63" t="s">
        <v>252</v>
      </c>
      <c r="C27" s="102">
        <v>0</v>
      </c>
      <c r="D27" s="76">
        <f>210</f>
        <v>210</v>
      </c>
      <c r="E27" s="76"/>
      <c r="F27" s="76"/>
      <c r="G27" s="76"/>
      <c r="H27" s="76"/>
      <c r="I27" s="76"/>
      <c r="J27" s="76"/>
      <c r="K27" s="102">
        <f t="shared" si="2"/>
        <v>210</v>
      </c>
      <c r="L27" s="76">
        <f t="shared" si="1"/>
        <v>210</v>
      </c>
    </row>
    <row r="28" spans="1:12" ht="33" hidden="1">
      <c r="A28" s="104"/>
      <c r="B28" s="81" t="s">
        <v>253</v>
      </c>
      <c r="C28" s="102"/>
      <c r="D28" s="84"/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102">
        <f>D28+E28+F28+G28+H28+I28+J28</f>
        <v>0</v>
      </c>
      <c r="L28" s="105">
        <f>C28+K28</f>
        <v>0</v>
      </c>
    </row>
    <row r="29" spans="1:12" s="1" customFormat="1" ht="27.75" customHeight="1">
      <c r="A29" s="56" t="s">
        <v>86</v>
      </c>
      <c r="B29" s="75" t="s">
        <v>87</v>
      </c>
      <c r="C29" s="102">
        <f>C30</f>
        <v>0</v>
      </c>
      <c r="D29" s="76">
        <f aca="true" t="shared" si="6" ref="D29:J29">D30</f>
        <v>0</v>
      </c>
      <c r="E29" s="76">
        <f t="shared" si="6"/>
        <v>153.9</v>
      </c>
      <c r="F29" s="76">
        <f t="shared" si="6"/>
        <v>153.9</v>
      </c>
      <c r="G29" s="76">
        <f t="shared" si="6"/>
        <v>153.9</v>
      </c>
      <c r="H29" s="76">
        <f t="shared" si="6"/>
        <v>153.9</v>
      </c>
      <c r="I29" s="76">
        <f t="shared" si="6"/>
        <v>153.9</v>
      </c>
      <c r="J29" s="76">
        <f t="shared" si="6"/>
        <v>153.9</v>
      </c>
      <c r="K29" s="102">
        <f>K30</f>
        <v>923.4</v>
      </c>
      <c r="L29" s="76">
        <f>C29+K29</f>
        <v>923.4</v>
      </c>
    </row>
    <row r="30" spans="1:12" ht="56.25" customHeight="1">
      <c r="A30" s="56" t="s">
        <v>88</v>
      </c>
      <c r="B30" s="63" t="s">
        <v>254</v>
      </c>
      <c r="C30" s="102">
        <v>0</v>
      </c>
      <c r="D30" s="76"/>
      <c r="E30" s="76">
        <f aca="true" t="shared" si="7" ref="E30:J30">153.9</f>
        <v>153.9</v>
      </c>
      <c r="F30" s="76">
        <f t="shared" si="7"/>
        <v>153.9</v>
      </c>
      <c r="G30" s="76">
        <f t="shared" si="7"/>
        <v>153.9</v>
      </c>
      <c r="H30" s="76">
        <f t="shared" si="7"/>
        <v>153.9</v>
      </c>
      <c r="I30" s="76">
        <f t="shared" si="7"/>
        <v>153.9</v>
      </c>
      <c r="J30" s="76">
        <f t="shared" si="7"/>
        <v>153.9</v>
      </c>
      <c r="K30" s="102">
        <f>D30+E30+F30+G30+H30+I30+J30</f>
        <v>923.4</v>
      </c>
      <c r="L30" s="76">
        <f>C30+K30</f>
        <v>923.4</v>
      </c>
    </row>
    <row r="31" spans="1:12" s="1" customFormat="1" ht="38.25" customHeight="1">
      <c r="A31" s="56" t="s">
        <v>90</v>
      </c>
      <c r="B31" s="75" t="s">
        <v>255</v>
      </c>
      <c r="C31" s="102">
        <f>C32+C35</f>
        <v>200</v>
      </c>
      <c r="D31" s="76">
        <f aca="true" t="shared" si="8" ref="D31:J31">D32+D35</f>
        <v>630</v>
      </c>
      <c r="E31" s="76">
        <f t="shared" si="8"/>
        <v>0</v>
      </c>
      <c r="F31" s="76">
        <f t="shared" si="8"/>
        <v>0</v>
      </c>
      <c r="G31" s="76">
        <f t="shared" si="8"/>
        <v>0</v>
      </c>
      <c r="H31" s="76">
        <f t="shared" si="8"/>
        <v>0</v>
      </c>
      <c r="I31" s="76">
        <f t="shared" si="8"/>
        <v>0</v>
      </c>
      <c r="J31" s="76">
        <f t="shared" si="8"/>
        <v>0</v>
      </c>
      <c r="K31" s="102">
        <f>K32+K35</f>
        <v>630</v>
      </c>
      <c r="L31" s="76">
        <f>C31+K31</f>
        <v>830</v>
      </c>
    </row>
    <row r="32" spans="1:12" ht="47.25">
      <c r="A32" s="56" t="s">
        <v>91</v>
      </c>
      <c r="B32" s="86" t="s">
        <v>256</v>
      </c>
      <c r="C32" s="102">
        <f>C33</f>
        <v>200</v>
      </c>
      <c r="D32" s="76">
        <f>D33</f>
        <v>630</v>
      </c>
      <c r="E32" s="76"/>
      <c r="F32" s="76"/>
      <c r="G32" s="76"/>
      <c r="H32" s="76"/>
      <c r="I32" s="76"/>
      <c r="J32" s="76"/>
      <c r="K32" s="102">
        <f>D32+E32+F32+G32+H32+I32+J32</f>
        <v>630</v>
      </c>
      <c r="L32" s="76">
        <f>C32+K32</f>
        <v>830</v>
      </c>
    </row>
    <row r="33" spans="1:12" ht="27.75" customHeight="1">
      <c r="A33" s="56"/>
      <c r="B33" s="63" t="s">
        <v>100</v>
      </c>
      <c r="C33" s="102">
        <v>200</v>
      </c>
      <c r="D33" s="76">
        <v>630</v>
      </c>
      <c r="E33" s="76"/>
      <c r="F33" s="76"/>
      <c r="G33" s="76"/>
      <c r="H33" s="76"/>
      <c r="I33" s="76"/>
      <c r="J33" s="76"/>
      <c r="K33" s="102">
        <f>D33+E33+F33+G33+H33+I33+J33</f>
        <v>630</v>
      </c>
      <c r="L33" s="76">
        <f t="shared" si="1"/>
        <v>830</v>
      </c>
    </row>
    <row r="34" spans="1:12" ht="16.5" hidden="1">
      <c r="A34" s="104"/>
      <c r="B34" s="81" t="s">
        <v>72</v>
      </c>
      <c r="C34" s="102"/>
      <c r="D34" s="84"/>
      <c r="E34" s="84"/>
      <c r="F34" s="84"/>
      <c r="G34" s="84"/>
      <c r="H34" s="84"/>
      <c r="I34" s="84"/>
      <c r="J34" s="84"/>
      <c r="K34" s="102">
        <v>0</v>
      </c>
      <c r="L34" s="84"/>
    </row>
    <row r="35" spans="1:12" ht="18.75" customHeight="1" hidden="1">
      <c r="A35" s="56" t="s">
        <v>98</v>
      </c>
      <c r="B35" s="63" t="s">
        <v>99</v>
      </c>
      <c r="C35" s="102">
        <f>C36</f>
        <v>0</v>
      </c>
      <c r="D35" s="76">
        <f aca="true" t="shared" si="9" ref="D35:J35">D36</f>
        <v>0</v>
      </c>
      <c r="E35" s="76">
        <f t="shared" si="9"/>
        <v>0</v>
      </c>
      <c r="F35" s="76">
        <f t="shared" si="9"/>
        <v>0</v>
      </c>
      <c r="G35" s="76">
        <f t="shared" si="9"/>
        <v>0</v>
      </c>
      <c r="H35" s="76">
        <f t="shared" si="9"/>
        <v>0</v>
      </c>
      <c r="I35" s="76">
        <f t="shared" si="9"/>
        <v>0</v>
      </c>
      <c r="J35" s="76">
        <f t="shared" si="9"/>
        <v>0</v>
      </c>
      <c r="K35" s="102">
        <f>K36</f>
        <v>0</v>
      </c>
      <c r="L35" s="76">
        <f t="shared" si="1"/>
        <v>0</v>
      </c>
    </row>
    <row r="36" spans="1:12" ht="21" customHeight="1" hidden="1">
      <c r="A36" s="56"/>
      <c r="B36" s="63" t="s">
        <v>100</v>
      </c>
      <c r="C36" s="102">
        <f>0</f>
        <v>0</v>
      </c>
      <c r="D36" s="76"/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102">
        <f>D36+E36+F36+G36+H36+I36+J36</f>
        <v>0</v>
      </c>
      <c r="L36" s="76">
        <f t="shared" si="1"/>
        <v>0</v>
      </c>
    </row>
    <row r="37" spans="1:12" s="1" customFormat="1" ht="23.25" customHeight="1">
      <c r="A37" s="56" t="s">
        <v>101</v>
      </c>
      <c r="B37" s="75" t="s">
        <v>102</v>
      </c>
      <c r="C37" s="102">
        <f>C38+C39+C44</f>
        <v>23682.1</v>
      </c>
      <c r="D37" s="76">
        <f>D38+D39+D44</f>
        <v>6667.3</v>
      </c>
      <c r="E37" s="76">
        <f aca="true" t="shared" si="10" ref="E37:J37">E38+E39+E44</f>
        <v>0</v>
      </c>
      <c r="F37" s="76">
        <f t="shared" si="10"/>
        <v>0</v>
      </c>
      <c r="G37" s="76">
        <f t="shared" si="10"/>
        <v>0</v>
      </c>
      <c r="H37" s="76">
        <f t="shared" si="10"/>
        <v>0</v>
      </c>
      <c r="I37" s="76">
        <f t="shared" si="10"/>
        <v>0</v>
      </c>
      <c r="J37" s="76">
        <f t="shared" si="10"/>
        <v>0</v>
      </c>
      <c r="K37" s="102">
        <f>K39+K44</f>
        <v>6667.3</v>
      </c>
      <c r="L37" s="76">
        <f>C37+K37</f>
        <v>30349.399999999998</v>
      </c>
    </row>
    <row r="38" spans="1:12" s="1" customFormat="1" ht="29.25" customHeight="1">
      <c r="A38" s="56" t="s">
        <v>221</v>
      </c>
      <c r="B38" s="63" t="s">
        <v>214</v>
      </c>
      <c r="C38" s="102">
        <f>44.6</f>
        <v>44.6</v>
      </c>
      <c r="D38" s="76">
        <f>0</f>
        <v>0</v>
      </c>
      <c r="E38" s="76"/>
      <c r="F38" s="76"/>
      <c r="G38" s="76"/>
      <c r="H38" s="76"/>
      <c r="I38" s="76"/>
      <c r="J38" s="76"/>
      <c r="K38" s="102"/>
      <c r="L38" s="76">
        <f>C38+K38</f>
        <v>44.6</v>
      </c>
    </row>
    <row r="39" spans="1:12" ht="25.5" customHeight="1">
      <c r="A39" s="56" t="s">
        <v>103</v>
      </c>
      <c r="B39" s="88" t="s">
        <v>257</v>
      </c>
      <c r="C39" s="102">
        <f aca="true" t="shared" si="11" ref="C39:K39">C40+C41+C42+C43</f>
        <v>23137.5</v>
      </c>
      <c r="D39" s="102">
        <f t="shared" si="11"/>
        <v>6667.3</v>
      </c>
      <c r="E39" s="102">
        <f t="shared" si="11"/>
        <v>0</v>
      </c>
      <c r="F39" s="102">
        <f t="shared" si="11"/>
        <v>0</v>
      </c>
      <c r="G39" s="102">
        <f t="shared" si="11"/>
        <v>0</v>
      </c>
      <c r="H39" s="102">
        <f t="shared" si="11"/>
        <v>0</v>
      </c>
      <c r="I39" s="102">
        <f t="shared" si="11"/>
        <v>0</v>
      </c>
      <c r="J39" s="102">
        <f t="shared" si="11"/>
        <v>0</v>
      </c>
      <c r="K39" s="102">
        <f t="shared" si="11"/>
        <v>6667.3</v>
      </c>
      <c r="L39" s="76">
        <f>C39+K39</f>
        <v>29804.8</v>
      </c>
    </row>
    <row r="40" spans="1:12" ht="73.5" customHeight="1">
      <c r="A40" s="56"/>
      <c r="B40" s="88" t="s">
        <v>294</v>
      </c>
      <c r="C40" s="102">
        <f>0</f>
        <v>0</v>
      </c>
      <c r="D40" s="76"/>
      <c r="E40" s="76"/>
      <c r="F40" s="76"/>
      <c r="G40" s="76"/>
      <c r="H40" s="76"/>
      <c r="I40" s="76"/>
      <c r="J40" s="76"/>
      <c r="K40" s="102">
        <f>D40+E40+F40+G40+H40+I40+J40</f>
        <v>0</v>
      </c>
      <c r="L40" s="76">
        <f t="shared" si="1"/>
        <v>0</v>
      </c>
    </row>
    <row r="41" spans="1:12" ht="86.25" customHeight="1">
      <c r="A41" s="56"/>
      <c r="B41" s="86" t="s">
        <v>295</v>
      </c>
      <c r="C41" s="102">
        <f>0</f>
        <v>0</v>
      </c>
      <c r="D41" s="76"/>
      <c r="E41" s="76"/>
      <c r="F41" s="76"/>
      <c r="G41" s="76"/>
      <c r="H41" s="76"/>
      <c r="I41" s="76"/>
      <c r="J41" s="76"/>
      <c r="K41" s="102">
        <f>D41+E41+F41+G41+H41+I41+J41</f>
        <v>0</v>
      </c>
      <c r="L41" s="76">
        <f t="shared" si="1"/>
        <v>0</v>
      </c>
    </row>
    <row r="42" spans="1:12" ht="140.25" customHeight="1">
      <c r="A42" s="56"/>
      <c r="B42" s="86" t="s">
        <v>259</v>
      </c>
      <c r="C42" s="102">
        <f>23137.5</f>
        <v>23137.5</v>
      </c>
      <c r="D42" s="76">
        <f>6667.3</f>
        <v>6667.3</v>
      </c>
      <c r="E42" s="76"/>
      <c r="F42" s="76"/>
      <c r="G42" s="76"/>
      <c r="H42" s="76"/>
      <c r="I42" s="76"/>
      <c r="J42" s="76"/>
      <c r="K42" s="102">
        <f>D42+E42+F42+G42+H42+I42+J42</f>
        <v>6667.3</v>
      </c>
      <c r="L42" s="76">
        <f t="shared" si="1"/>
        <v>29804.8</v>
      </c>
    </row>
    <row r="43" spans="1:12" ht="37.5" customHeight="1" hidden="1">
      <c r="A43" s="104"/>
      <c r="B43" s="81" t="s">
        <v>260</v>
      </c>
      <c r="C43" s="102"/>
      <c r="D43" s="84"/>
      <c r="E43" s="84">
        <f>1498.2-1498.2</f>
        <v>0</v>
      </c>
      <c r="F43" s="84">
        <f>1593.6-1593.6</f>
        <v>0</v>
      </c>
      <c r="G43" s="84">
        <f>634.1-634.1</f>
        <v>0</v>
      </c>
      <c r="H43" s="84">
        <f>1660.9-1660.9</f>
        <v>0</v>
      </c>
      <c r="I43" s="84">
        <f>1559.9-1559.9</f>
        <v>0</v>
      </c>
      <c r="J43" s="84">
        <f>937.1-937.1</f>
        <v>0</v>
      </c>
      <c r="K43" s="102">
        <f>D43+E43+F43+G43+H43+I43+J43</f>
        <v>0</v>
      </c>
      <c r="L43" s="105">
        <f>C43+K43-7883.8+7883.8</f>
        <v>0</v>
      </c>
    </row>
    <row r="44" spans="1:12" ht="33">
      <c r="A44" s="56" t="s">
        <v>105</v>
      </c>
      <c r="B44" s="63" t="s">
        <v>106</v>
      </c>
      <c r="C44" s="102">
        <f>C45+C46+C47</f>
        <v>500</v>
      </c>
      <c r="D44" s="76">
        <f aca="true" t="shared" si="12" ref="D44:J44">D45+D46+D47</f>
        <v>0</v>
      </c>
      <c r="E44" s="76">
        <f t="shared" si="12"/>
        <v>0</v>
      </c>
      <c r="F44" s="76">
        <f t="shared" si="12"/>
        <v>0</v>
      </c>
      <c r="G44" s="76">
        <f t="shared" si="12"/>
        <v>0</v>
      </c>
      <c r="H44" s="76">
        <f t="shared" si="12"/>
        <v>0</v>
      </c>
      <c r="I44" s="76">
        <f t="shared" si="12"/>
        <v>0</v>
      </c>
      <c r="J44" s="76">
        <f t="shared" si="12"/>
        <v>0</v>
      </c>
      <c r="K44" s="102">
        <f>K45+K46+K47</f>
        <v>0</v>
      </c>
      <c r="L44" s="76">
        <f>C44+K44</f>
        <v>500</v>
      </c>
    </row>
    <row r="45" spans="1:12" ht="16.5">
      <c r="A45" s="56"/>
      <c r="B45" s="63" t="s">
        <v>261</v>
      </c>
      <c r="C45" s="102">
        <f>290</f>
        <v>290</v>
      </c>
      <c r="D45" s="76"/>
      <c r="E45" s="76"/>
      <c r="F45" s="76"/>
      <c r="G45" s="76"/>
      <c r="H45" s="76"/>
      <c r="I45" s="76"/>
      <c r="J45" s="76"/>
      <c r="K45" s="102">
        <f>D45+E45+F45+G45+H45+I45+J45</f>
        <v>0</v>
      </c>
      <c r="L45" s="76">
        <f t="shared" si="1"/>
        <v>290</v>
      </c>
    </row>
    <row r="46" spans="1:12" ht="27.75" customHeight="1" hidden="1">
      <c r="A46" s="104"/>
      <c r="B46" s="81" t="s">
        <v>72</v>
      </c>
      <c r="C46" s="102">
        <f>0</f>
        <v>0</v>
      </c>
      <c r="D46" s="84"/>
      <c r="E46" s="84"/>
      <c r="F46" s="84"/>
      <c r="G46" s="84"/>
      <c r="H46" s="84"/>
      <c r="I46" s="84"/>
      <c r="J46" s="84"/>
      <c r="K46" s="102"/>
      <c r="L46" s="84"/>
    </row>
    <row r="47" spans="1:12" ht="20.25" customHeight="1">
      <c r="A47" s="56"/>
      <c r="B47" s="63" t="s">
        <v>100</v>
      </c>
      <c r="C47" s="102">
        <f>210</f>
        <v>210</v>
      </c>
      <c r="D47" s="76"/>
      <c r="E47" s="76"/>
      <c r="F47" s="76"/>
      <c r="G47" s="76"/>
      <c r="H47" s="76"/>
      <c r="I47" s="76"/>
      <c r="J47" s="76"/>
      <c r="K47" s="102">
        <f>D47+E47+F47+G47+H47+I47+J47</f>
        <v>0</v>
      </c>
      <c r="L47" s="76">
        <f t="shared" si="1"/>
        <v>210</v>
      </c>
    </row>
    <row r="48" spans="1:12" s="1" customFormat="1" ht="38.25" customHeight="1">
      <c r="A48" s="56" t="s">
        <v>107</v>
      </c>
      <c r="B48" s="75" t="s">
        <v>108</v>
      </c>
      <c r="C48" s="102">
        <f>C49+C52+C56</f>
        <v>8000</v>
      </c>
      <c r="D48" s="76">
        <f aca="true" t="shared" si="13" ref="D48:J48">D49+D52+D56</f>
        <v>29850</v>
      </c>
      <c r="E48" s="76">
        <f t="shared" si="13"/>
        <v>2308.7</v>
      </c>
      <c r="F48" s="76">
        <f t="shared" si="13"/>
        <v>1900.7</v>
      </c>
      <c r="G48" s="76">
        <f t="shared" si="13"/>
        <v>1429.5</v>
      </c>
      <c r="H48" s="76">
        <f t="shared" si="13"/>
        <v>2116.8</v>
      </c>
      <c r="I48" s="76">
        <f t="shared" si="13"/>
        <v>1150.3</v>
      </c>
      <c r="J48" s="76">
        <f t="shared" si="13"/>
        <v>1692.3</v>
      </c>
      <c r="K48" s="102">
        <f>K49+K52+K56</f>
        <v>40448.3</v>
      </c>
      <c r="L48" s="76">
        <f>C48+K48-L55</f>
        <v>42248.3</v>
      </c>
    </row>
    <row r="49" spans="1:12" ht="16.5">
      <c r="A49" s="56" t="s">
        <v>109</v>
      </c>
      <c r="B49" s="63" t="s">
        <v>110</v>
      </c>
      <c r="C49" s="102">
        <f>C50+C51</f>
        <v>1800</v>
      </c>
      <c r="D49" s="76">
        <f aca="true" t="shared" si="14" ref="D49:J49">D50+D51</f>
        <v>2300</v>
      </c>
      <c r="E49" s="76">
        <f t="shared" si="14"/>
        <v>0</v>
      </c>
      <c r="F49" s="76">
        <f t="shared" si="14"/>
        <v>0</v>
      </c>
      <c r="G49" s="76">
        <f t="shared" si="14"/>
        <v>0</v>
      </c>
      <c r="H49" s="76">
        <f t="shared" si="14"/>
        <v>0</v>
      </c>
      <c r="I49" s="76">
        <f t="shared" si="14"/>
        <v>0</v>
      </c>
      <c r="J49" s="76">
        <f t="shared" si="14"/>
        <v>0</v>
      </c>
      <c r="K49" s="102">
        <f>K50+K51</f>
        <v>2300</v>
      </c>
      <c r="L49" s="76">
        <f t="shared" si="1"/>
        <v>4100</v>
      </c>
    </row>
    <row r="50" spans="1:12" ht="33">
      <c r="A50" s="56"/>
      <c r="B50" s="63" t="s">
        <v>262</v>
      </c>
      <c r="C50" s="102">
        <f>1800</f>
        <v>1800</v>
      </c>
      <c r="D50" s="76">
        <f>1000+1300</f>
        <v>2300</v>
      </c>
      <c r="E50" s="76"/>
      <c r="F50" s="76"/>
      <c r="G50" s="76"/>
      <c r="H50" s="76"/>
      <c r="I50" s="76"/>
      <c r="J50" s="76"/>
      <c r="K50" s="102">
        <f>D50+E50+F50+G50+H50+I50+J50</f>
        <v>2300</v>
      </c>
      <c r="L50" s="76">
        <f t="shared" si="1"/>
        <v>4100</v>
      </c>
    </row>
    <row r="51" spans="1:12" ht="16.5" hidden="1">
      <c r="A51" s="56"/>
      <c r="B51" s="63" t="s">
        <v>111</v>
      </c>
      <c r="C51" s="102">
        <v>0</v>
      </c>
      <c r="D51" s="76"/>
      <c r="E51" s="76"/>
      <c r="F51" s="76"/>
      <c r="G51" s="76"/>
      <c r="H51" s="76"/>
      <c r="I51" s="76"/>
      <c r="J51" s="76"/>
      <c r="K51" s="102">
        <f>D51+E51+F51+G51+H51+I51+J51</f>
        <v>0</v>
      </c>
      <c r="L51" s="76">
        <f t="shared" si="1"/>
        <v>0</v>
      </c>
    </row>
    <row r="52" spans="1:12" ht="16.5">
      <c r="A52" s="56" t="s">
        <v>112</v>
      </c>
      <c r="B52" s="63" t="s">
        <v>113</v>
      </c>
      <c r="C52" s="102">
        <f>C53+C54+C55</f>
        <v>6200</v>
      </c>
      <c r="D52" s="76">
        <f aca="true" t="shared" si="15" ref="D52:J52">D53+D54+D55</f>
        <v>3200</v>
      </c>
      <c r="E52" s="76">
        <f t="shared" si="15"/>
        <v>1500</v>
      </c>
      <c r="F52" s="76">
        <f t="shared" si="15"/>
        <v>1200</v>
      </c>
      <c r="G52" s="76">
        <f t="shared" si="15"/>
        <v>800</v>
      </c>
      <c r="H52" s="76">
        <f t="shared" si="15"/>
        <v>1300</v>
      </c>
      <c r="I52" s="76">
        <f t="shared" si="15"/>
        <v>500</v>
      </c>
      <c r="J52" s="76">
        <f t="shared" si="15"/>
        <v>900</v>
      </c>
      <c r="K52" s="102">
        <f>K53+K54+K55</f>
        <v>9400</v>
      </c>
      <c r="L52" s="76">
        <f>C52+K52</f>
        <v>15600</v>
      </c>
    </row>
    <row r="53" spans="1:12" ht="16.5" hidden="1">
      <c r="A53" s="56"/>
      <c r="B53" s="63" t="s">
        <v>114</v>
      </c>
      <c r="C53" s="102">
        <f>0</f>
        <v>0</v>
      </c>
      <c r="D53" s="76"/>
      <c r="E53" s="76"/>
      <c r="F53" s="76"/>
      <c r="G53" s="76"/>
      <c r="H53" s="76"/>
      <c r="I53" s="76"/>
      <c r="J53" s="76"/>
      <c r="K53" s="102">
        <f>D53+E53+F53+G53+H53+I53+J53</f>
        <v>0</v>
      </c>
      <c r="L53" s="76">
        <f t="shared" si="1"/>
        <v>0</v>
      </c>
    </row>
    <row r="54" spans="1:12" ht="33">
      <c r="A54" s="56"/>
      <c r="B54" s="63" t="s">
        <v>296</v>
      </c>
      <c r="C54" s="102">
        <f>6200</f>
        <v>6200</v>
      </c>
      <c r="D54" s="76">
        <f>1000+2200</f>
        <v>3200</v>
      </c>
      <c r="E54" s="76"/>
      <c r="F54" s="76"/>
      <c r="G54" s="76"/>
      <c r="H54" s="76"/>
      <c r="I54" s="76"/>
      <c r="J54" s="76"/>
      <c r="K54" s="102">
        <f>D54+E54+F54+G54+H54+I54+J54</f>
        <v>3200</v>
      </c>
      <c r="L54" s="76">
        <f t="shared" si="1"/>
        <v>9400</v>
      </c>
    </row>
    <row r="55" spans="1:12" ht="33">
      <c r="A55" s="104"/>
      <c r="B55" s="81" t="s">
        <v>263</v>
      </c>
      <c r="C55" s="102"/>
      <c r="D55" s="84">
        <v>0</v>
      </c>
      <c r="E55" s="84">
        <f>1500</f>
        <v>1500</v>
      </c>
      <c r="F55" s="84">
        <f>1200</f>
        <v>1200</v>
      </c>
      <c r="G55" s="84">
        <f>800</f>
        <v>800</v>
      </c>
      <c r="H55" s="84">
        <f>1300</f>
        <v>1300</v>
      </c>
      <c r="I55" s="84">
        <f>500</f>
        <v>500</v>
      </c>
      <c r="J55" s="84">
        <f>900</f>
        <v>900</v>
      </c>
      <c r="K55" s="102">
        <f>D55+E55+F55+G55+H55+I55+J55</f>
        <v>6200</v>
      </c>
      <c r="L55" s="105">
        <f>C55+K55</f>
        <v>6200</v>
      </c>
    </row>
    <row r="56" spans="1:12" ht="20.25" customHeight="1">
      <c r="A56" s="56" t="s">
        <v>117</v>
      </c>
      <c r="B56" s="63" t="s">
        <v>264</v>
      </c>
      <c r="C56" s="102">
        <v>0</v>
      </c>
      <c r="D56" s="76">
        <f aca="true" t="shared" si="16" ref="D56:J56">D57+D58+D59+D60+D61+D62</f>
        <v>24350</v>
      </c>
      <c r="E56" s="76">
        <f t="shared" si="16"/>
        <v>808.7</v>
      </c>
      <c r="F56" s="76">
        <f t="shared" si="16"/>
        <v>700.7</v>
      </c>
      <c r="G56" s="76">
        <f t="shared" si="16"/>
        <v>629.5</v>
      </c>
      <c r="H56" s="76">
        <f t="shared" si="16"/>
        <v>816.8</v>
      </c>
      <c r="I56" s="76">
        <f t="shared" si="16"/>
        <v>650.3</v>
      </c>
      <c r="J56" s="76">
        <f t="shared" si="16"/>
        <v>792.3</v>
      </c>
      <c r="K56" s="102">
        <f>K57+K58+K59+K60+K61+K62</f>
        <v>28748.3</v>
      </c>
      <c r="L56" s="76">
        <f>C56+K56-K61</f>
        <v>28748.3</v>
      </c>
    </row>
    <row r="57" spans="1:12" ht="16.5">
      <c r="A57" s="56"/>
      <c r="B57" s="63" t="s">
        <v>265</v>
      </c>
      <c r="C57" s="102">
        <f>0</f>
        <v>0</v>
      </c>
      <c r="D57" s="76">
        <f>9200</f>
        <v>9200</v>
      </c>
      <c r="E57" s="76">
        <f>374</f>
        <v>374</v>
      </c>
      <c r="F57" s="76">
        <f>310</f>
        <v>310</v>
      </c>
      <c r="G57" s="76">
        <f>132</f>
        <v>132</v>
      </c>
      <c r="H57" s="76">
        <f>410</f>
        <v>410</v>
      </c>
      <c r="I57" s="76">
        <f>340</f>
        <v>340</v>
      </c>
      <c r="J57" s="76">
        <f>380</f>
        <v>380</v>
      </c>
      <c r="K57" s="102">
        <f aca="true" t="shared" si="17" ref="K57:K62">D57+E57+F57+G57+H57+I57+J57</f>
        <v>11146</v>
      </c>
      <c r="L57" s="76">
        <f t="shared" si="1"/>
        <v>11146</v>
      </c>
    </row>
    <row r="58" spans="1:12" ht="16.5">
      <c r="A58" s="56"/>
      <c r="B58" s="63" t="s">
        <v>120</v>
      </c>
      <c r="C58" s="102">
        <f>0</f>
        <v>0</v>
      </c>
      <c r="D58" s="76"/>
      <c r="E58" s="76">
        <f>20</f>
        <v>20</v>
      </c>
      <c r="F58" s="76">
        <f>20</f>
        <v>20</v>
      </c>
      <c r="G58" s="76">
        <f>20</f>
        <v>20</v>
      </c>
      <c r="H58" s="76">
        <f>20</f>
        <v>20</v>
      </c>
      <c r="I58" s="76">
        <f>20</f>
        <v>20</v>
      </c>
      <c r="J58" s="76">
        <f>20</f>
        <v>20</v>
      </c>
      <c r="K58" s="102">
        <f t="shared" si="17"/>
        <v>120</v>
      </c>
      <c r="L58" s="76">
        <f t="shared" si="1"/>
        <v>120</v>
      </c>
    </row>
    <row r="59" spans="1:12" ht="16.5">
      <c r="A59" s="56"/>
      <c r="B59" s="63" t="s">
        <v>121</v>
      </c>
      <c r="C59" s="102">
        <f>0</f>
        <v>0</v>
      </c>
      <c r="D59" s="76"/>
      <c r="E59" s="76">
        <f>20</f>
        <v>20</v>
      </c>
      <c r="F59" s="76">
        <f>20</f>
        <v>20</v>
      </c>
      <c r="G59" s="76">
        <f>20</f>
        <v>20</v>
      </c>
      <c r="H59" s="76">
        <f>20</f>
        <v>20</v>
      </c>
      <c r="I59" s="76">
        <f>20</f>
        <v>20</v>
      </c>
      <c r="J59" s="76">
        <f>20</f>
        <v>20</v>
      </c>
      <c r="K59" s="102">
        <f t="shared" si="17"/>
        <v>120</v>
      </c>
      <c r="L59" s="76">
        <f t="shared" si="1"/>
        <v>120</v>
      </c>
    </row>
    <row r="60" spans="1:12" ht="16.5">
      <c r="A60" s="56"/>
      <c r="B60" s="63" t="s">
        <v>122</v>
      </c>
      <c r="C60" s="102">
        <f>0</f>
        <v>0</v>
      </c>
      <c r="D60" s="76">
        <f>13400</f>
        <v>13400</v>
      </c>
      <c r="E60" s="76">
        <f>394.7</f>
        <v>394.7</v>
      </c>
      <c r="F60" s="76">
        <f>350.7</f>
        <v>350.7</v>
      </c>
      <c r="G60" s="76">
        <f>457.5</f>
        <v>457.5</v>
      </c>
      <c r="H60" s="76">
        <f>366.8</f>
        <v>366.8</v>
      </c>
      <c r="I60" s="76">
        <f>270.3</f>
        <v>270.3</v>
      </c>
      <c r="J60" s="76">
        <f>372.3</f>
        <v>372.3</v>
      </c>
      <c r="K60" s="102">
        <f t="shared" si="17"/>
        <v>15612.3</v>
      </c>
      <c r="L60" s="76">
        <f t="shared" si="1"/>
        <v>15612.3</v>
      </c>
    </row>
    <row r="61" spans="1:12" ht="49.5" hidden="1">
      <c r="A61" s="56"/>
      <c r="B61" s="81" t="s">
        <v>266</v>
      </c>
      <c r="C61" s="102"/>
      <c r="D61" s="84">
        <v>0</v>
      </c>
      <c r="E61" s="84"/>
      <c r="F61" s="84"/>
      <c r="G61" s="84"/>
      <c r="H61" s="84"/>
      <c r="I61" s="84"/>
      <c r="J61" s="84"/>
      <c r="K61" s="102">
        <f t="shared" si="17"/>
        <v>0</v>
      </c>
      <c r="L61" s="84"/>
    </row>
    <row r="62" spans="1:12" ht="40.5" customHeight="1">
      <c r="A62" s="56"/>
      <c r="B62" s="63" t="s">
        <v>267</v>
      </c>
      <c r="C62" s="102"/>
      <c r="D62" s="106">
        <f>1750</f>
        <v>1750</v>
      </c>
      <c r="E62" s="106"/>
      <c r="F62" s="106"/>
      <c r="G62" s="106"/>
      <c r="H62" s="106"/>
      <c r="I62" s="106"/>
      <c r="J62" s="106"/>
      <c r="K62" s="102">
        <f t="shared" si="17"/>
        <v>1750</v>
      </c>
      <c r="L62" s="76">
        <f t="shared" si="1"/>
        <v>1750</v>
      </c>
    </row>
    <row r="63" spans="1:12" ht="27.75" customHeight="1" hidden="1">
      <c r="A63" s="56" t="s">
        <v>125</v>
      </c>
      <c r="B63" s="75" t="s">
        <v>126</v>
      </c>
      <c r="C63" s="102">
        <f>C64</f>
        <v>0</v>
      </c>
      <c r="D63" s="76">
        <f aca="true" t="shared" si="18" ref="D63:J63">D64</f>
        <v>0</v>
      </c>
      <c r="E63" s="76">
        <f t="shared" si="18"/>
        <v>0</v>
      </c>
      <c r="F63" s="76">
        <f t="shared" si="18"/>
        <v>0</v>
      </c>
      <c r="G63" s="76">
        <f t="shared" si="18"/>
        <v>0</v>
      </c>
      <c r="H63" s="76">
        <f t="shared" si="18"/>
        <v>0</v>
      </c>
      <c r="I63" s="76">
        <f t="shared" si="18"/>
        <v>0</v>
      </c>
      <c r="J63" s="76">
        <f t="shared" si="18"/>
        <v>0</v>
      </c>
      <c r="K63" s="102">
        <f>K64</f>
        <v>0</v>
      </c>
      <c r="L63" s="76">
        <f t="shared" si="1"/>
        <v>0</v>
      </c>
    </row>
    <row r="64" spans="1:12" ht="52.5" customHeight="1" hidden="1">
      <c r="A64" s="56" t="s">
        <v>127</v>
      </c>
      <c r="B64" s="63" t="s">
        <v>128</v>
      </c>
      <c r="C64" s="102">
        <f>0</f>
        <v>0</v>
      </c>
      <c r="D64" s="76"/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102">
        <f>D64+E64+F64+G64+H64+I64+J64</f>
        <v>0</v>
      </c>
      <c r="L64" s="76">
        <f t="shared" si="1"/>
        <v>0</v>
      </c>
    </row>
    <row r="65" spans="1:12" s="1" customFormat="1" ht="34.5" customHeight="1">
      <c r="A65" s="56" t="s">
        <v>129</v>
      </c>
      <c r="B65" s="75" t="s">
        <v>268</v>
      </c>
      <c r="C65" s="102">
        <f>C66+C67+C73+C77+C83</f>
        <v>453154</v>
      </c>
      <c r="D65" s="76">
        <f aca="true" t="shared" si="19" ref="D65:J65">D66+D67+D73+D77+D83</f>
        <v>3695.6</v>
      </c>
      <c r="E65" s="76">
        <f t="shared" si="19"/>
        <v>0</v>
      </c>
      <c r="F65" s="76">
        <f t="shared" si="19"/>
        <v>0</v>
      </c>
      <c r="G65" s="76">
        <f t="shared" si="19"/>
        <v>0</v>
      </c>
      <c r="H65" s="76">
        <f t="shared" si="19"/>
        <v>0</v>
      </c>
      <c r="I65" s="76">
        <f t="shared" si="19"/>
        <v>0</v>
      </c>
      <c r="J65" s="76">
        <f t="shared" si="19"/>
        <v>0</v>
      </c>
      <c r="K65" s="102">
        <f>K66+K67+K73+K77+K83</f>
        <v>3695.6</v>
      </c>
      <c r="L65" s="76">
        <f>C65+K65</f>
        <v>456849.6</v>
      </c>
    </row>
    <row r="66" spans="1:16" ht="30" customHeight="1">
      <c r="A66" s="56" t="s">
        <v>134</v>
      </c>
      <c r="B66" s="91" t="s">
        <v>269</v>
      </c>
      <c r="C66" s="102">
        <f>135445.9</f>
        <v>135445.9</v>
      </c>
      <c r="D66" s="76"/>
      <c r="E66" s="76"/>
      <c r="F66" s="76"/>
      <c r="G66" s="76"/>
      <c r="H66" s="76"/>
      <c r="I66" s="76"/>
      <c r="J66" s="76"/>
      <c r="K66" s="102">
        <f>D66+E66+F66+G66+H66+I66+J66</f>
        <v>0</v>
      </c>
      <c r="L66" s="76">
        <f t="shared" si="1"/>
        <v>135445.9</v>
      </c>
      <c r="M66" s="3">
        <f>200+165</f>
        <v>365</v>
      </c>
      <c r="N66" s="3" t="s">
        <v>270</v>
      </c>
      <c r="O66" s="3">
        <v>931.3</v>
      </c>
      <c r="P66" s="3" t="s">
        <v>271</v>
      </c>
    </row>
    <row r="67" spans="1:12" ht="22.5" customHeight="1">
      <c r="A67" s="56" t="s">
        <v>135</v>
      </c>
      <c r="B67" s="63" t="s">
        <v>2</v>
      </c>
      <c r="C67" s="102">
        <f>292357.2</f>
        <v>292357.2</v>
      </c>
      <c r="D67" s="76">
        <f aca="true" t="shared" si="20" ref="D67:J67">D69+D70+D71+D72</f>
        <v>3695.6</v>
      </c>
      <c r="E67" s="76">
        <f t="shared" si="20"/>
        <v>0</v>
      </c>
      <c r="F67" s="76">
        <f t="shared" si="20"/>
        <v>0</v>
      </c>
      <c r="G67" s="76">
        <f t="shared" si="20"/>
        <v>0</v>
      </c>
      <c r="H67" s="76">
        <f t="shared" si="20"/>
        <v>0</v>
      </c>
      <c r="I67" s="76">
        <f t="shared" si="20"/>
        <v>0</v>
      </c>
      <c r="J67" s="76">
        <f t="shared" si="20"/>
        <v>0</v>
      </c>
      <c r="K67" s="102">
        <f>K69+K70+K71+K72</f>
        <v>3695.6</v>
      </c>
      <c r="L67" s="76">
        <f>C67+K67</f>
        <v>296052.8</v>
      </c>
    </row>
    <row r="68" spans="1:12" ht="16.5">
      <c r="A68" s="56"/>
      <c r="B68" s="63" t="s">
        <v>136</v>
      </c>
      <c r="C68" s="102"/>
      <c r="D68" s="76"/>
      <c r="E68" s="76"/>
      <c r="F68" s="76"/>
      <c r="G68" s="76"/>
      <c r="H68" s="76"/>
      <c r="I68" s="76"/>
      <c r="J68" s="76"/>
      <c r="K68" s="102"/>
      <c r="L68" s="76">
        <f t="shared" si="1"/>
        <v>0</v>
      </c>
    </row>
    <row r="69" spans="1:16" ht="30" customHeight="1">
      <c r="A69" s="56"/>
      <c r="B69" s="63" t="s">
        <v>272</v>
      </c>
      <c r="C69" s="102">
        <f>281754.3</f>
        <v>281754.3</v>
      </c>
      <c r="D69" s="76"/>
      <c r="E69" s="76"/>
      <c r="F69" s="76"/>
      <c r="G69" s="76"/>
      <c r="H69" s="76"/>
      <c r="I69" s="76"/>
      <c r="J69" s="76"/>
      <c r="K69" s="102">
        <f>D69+E69+F69+G69+H69+I69+J69</f>
        <v>0</v>
      </c>
      <c r="L69" s="76">
        <f t="shared" si="1"/>
        <v>281754.3</v>
      </c>
      <c r="M69" s="3">
        <f>480+1050</f>
        <v>1530</v>
      </c>
      <c r="N69" s="3" t="s">
        <v>270</v>
      </c>
      <c r="O69" s="3">
        <v>370</v>
      </c>
      <c r="P69" s="3" t="s">
        <v>271</v>
      </c>
    </row>
    <row r="70" spans="1:12" ht="19.5" customHeight="1">
      <c r="A70" s="56"/>
      <c r="B70" s="63" t="s">
        <v>137</v>
      </c>
      <c r="C70" s="102">
        <v>0</v>
      </c>
      <c r="D70" s="76">
        <f>3695.6</f>
        <v>3695.6</v>
      </c>
      <c r="E70" s="76"/>
      <c r="F70" s="76"/>
      <c r="G70" s="76"/>
      <c r="H70" s="76"/>
      <c r="I70" s="76"/>
      <c r="J70" s="76"/>
      <c r="K70" s="102">
        <f>D70+E70+F70+G70+H70+I70+J70</f>
        <v>3695.6</v>
      </c>
      <c r="L70" s="76">
        <f t="shared" si="1"/>
        <v>3695.6</v>
      </c>
    </row>
    <row r="71" spans="1:12" ht="27.75" customHeight="1">
      <c r="A71" s="56"/>
      <c r="B71" s="63" t="s">
        <v>273</v>
      </c>
      <c r="C71" s="102">
        <f>10602.9</f>
        <v>10602.9</v>
      </c>
      <c r="D71" s="76"/>
      <c r="E71" s="76"/>
      <c r="F71" s="76"/>
      <c r="G71" s="76"/>
      <c r="H71" s="76"/>
      <c r="I71" s="76"/>
      <c r="J71" s="76"/>
      <c r="K71" s="102">
        <f>D71+E71+F71+G71+H71+I71+J71</f>
        <v>0</v>
      </c>
      <c r="L71" s="76">
        <f t="shared" si="1"/>
        <v>10602.9</v>
      </c>
    </row>
    <row r="72" spans="1:12" ht="23.25" customHeight="1" hidden="1">
      <c r="A72" s="56"/>
      <c r="B72" s="63" t="s">
        <v>72</v>
      </c>
      <c r="C72" s="102">
        <v>0</v>
      </c>
      <c r="D72" s="76"/>
      <c r="E72" s="76"/>
      <c r="F72" s="76"/>
      <c r="G72" s="76"/>
      <c r="H72" s="76"/>
      <c r="I72" s="76"/>
      <c r="J72" s="76"/>
      <c r="K72" s="102"/>
      <c r="L72" s="76"/>
    </row>
    <row r="73" spans="1:12" ht="16.5" hidden="1">
      <c r="A73" s="56" t="s">
        <v>139</v>
      </c>
      <c r="B73" s="63" t="s">
        <v>140</v>
      </c>
      <c r="C73" s="102">
        <f>C75+C76</f>
        <v>0</v>
      </c>
      <c r="D73" s="76"/>
      <c r="E73" s="76"/>
      <c r="F73" s="76"/>
      <c r="G73" s="76"/>
      <c r="H73" s="76"/>
      <c r="I73" s="76"/>
      <c r="J73" s="76"/>
      <c r="K73" s="102">
        <f>K75+K76</f>
        <v>0</v>
      </c>
      <c r="L73" s="76">
        <f t="shared" si="1"/>
        <v>0</v>
      </c>
    </row>
    <row r="74" spans="1:12" ht="16.5" hidden="1">
      <c r="A74" s="56"/>
      <c r="B74" s="63" t="s">
        <v>136</v>
      </c>
      <c r="C74" s="102"/>
      <c r="D74" s="76"/>
      <c r="E74" s="76"/>
      <c r="F74" s="76"/>
      <c r="G74" s="76"/>
      <c r="H74" s="76"/>
      <c r="I74" s="76"/>
      <c r="J74" s="76"/>
      <c r="K74" s="102"/>
      <c r="L74" s="76">
        <f t="shared" si="1"/>
        <v>0</v>
      </c>
    </row>
    <row r="75" spans="1:12" ht="16.5" hidden="1">
      <c r="A75" s="56"/>
      <c r="B75" s="63" t="s">
        <v>141</v>
      </c>
      <c r="C75" s="102">
        <f>0</f>
        <v>0</v>
      </c>
      <c r="D75" s="76"/>
      <c r="E75" s="76"/>
      <c r="F75" s="76"/>
      <c r="G75" s="76"/>
      <c r="H75" s="76"/>
      <c r="I75" s="76"/>
      <c r="J75" s="76"/>
      <c r="K75" s="102">
        <v>0</v>
      </c>
      <c r="L75" s="76">
        <f t="shared" si="1"/>
        <v>0</v>
      </c>
    </row>
    <row r="76" spans="1:12" ht="16.5" hidden="1">
      <c r="A76" s="56"/>
      <c r="B76" s="63" t="s">
        <v>142</v>
      </c>
      <c r="C76" s="102">
        <f>0</f>
        <v>0</v>
      </c>
      <c r="D76" s="76"/>
      <c r="E76" s="76"/>
      <c r="F76" s="76"/>
      <c r="G76" s="76"/>
      <c r="H76" s="76"/>
      <c r="I76" s="76"/>
      <c r="J76" s="76"/>
      <c r="K76" s="102">
        <v>0</v>
      </c>
      <c r="L76" s="76">
        <f t="shared" si="1"/>
        <v>0</v>
      </c>
    </row>
    <row r="77" spans="1:12" ht="33.75" customHeight="1">
      <c r="A77" s="56" t="s">
        <v>143</v>
      </c>
      <c r="B77" s="63" t="s">
        <v>0</v>
      </c>
      <c r="C77" s="102">
        <f>C79+C80+C81+C82</f>
        <v>4001.7000000000003</v>
      </c>
      <c r="D77" s="76">
        <f aca="true" t="shared" si="21" ref="D77:J77">D79+D80+D81+D82</f>
        <v>0</v>
      </c>
      <c r="E77" s="76">
        <f t="shared" si="21"/>
        <v>0</v>
      </c>
      <c r="F77" s="76">
        <f t="shared" si="21"/>
        <v>0</v>
      </c>
      <c r="G77" s="76">
        <f t="shared" si="21"/>
        <v>0</v>
      </c>
      <c r="H77" s="76">
        <f t="shared" si="21"/>
        <v>0</v>
      </c>
      <c r="I77" s="76">
        <f t="shared" si="21"/>
        <v>0</v>
      </c>
      <c r="J77" s="76">
        <f t="shared" si="21"/>
        <v>0</v>
      </c>
      <c r="K77" s="102">
        <f>K79+K80+K81+K82</f>
        <v>0</v>
      </c>
      <c r="L77" s="76">
        <f>C77+K77</f>
        <v>4001.7000000000003</v>
      </c>
    </row>
    <row r="78" spans="1:12" ht="19.5" customHeight="1">
      <c r="A78" s="56"/>
      <c r="B78" s="63" t="s">
        <v>136</v>
      </c>
      <c r="C78" s="102"/>
      <c r="D78" s="76"/>
      <c r="E78" s="76"/>
      <c r="F78" s="76"/>
      <c r="G78" s="76"/>
      <c r="H78" s="76"/>
      <c r="I78" s="76"/>
      <c r="J78" s="76"/>
      <c r="K78" s="102"/>
      <c r="L78" s="76">
        <f aca="true" t="shared" si="22" ref="L78:L141">C78+K78</f>
        <v>0</v>
      </c>
    </row>
    <row r="79" spans="1:12" ht="39" customHeight="1">
      <c r="A79" s="56"/>
      <c r="B79" s="63" t="s">
        <v>144</v>
      </c>
      <c r="C79" s="102">
        <f>3654.4</f>
        <v>3654.4</v>
      </c>
      <c r="D79" s="76"/>
      <c r="E79" s="76"/>
      <c r="F79" s="76"/>
      <c r="G79" s="76"/>
      <c r="H79" s="76"/>
      <c r="I79" s="76"/>
      <c r="J79" s="76"/>
      <c r="K79" s="102">
        <f>D79+E79+F79+G79+H79+I79+J79</f>
        <v>0</v>
      </c>
      <c r="L79" s="76">
        <f t="shared" si="22"/>
        <v>3654.4</v>
      </c>
    </row>
    <row r="80" spans="1:16" ht="38.25" customHeight="1">
      <c r="A80" s="56"/>
      <c r="B80" s="63" t="s">
        <v>274</v>
      </c>
      <c r="C80" s="102">
        <f>287.3</f>
        <v>287.3</v>
      </c>
      <c r="D80" s="76"/>
      <c r="E80" s="76"/>
      <c r="F80" s="76"/>
      <c r="G80" s="76"/>
      <c r="H80" s="76"/>
      <c r="I80" s="76"/>
      <c r="J80" s="76"/>
      <c r="K80" s="102">
        <f>D80+E80+F80+G80+H80+I80+J80</f>
        <v>0</v>
      </c>
      <c r="L80" s="76">
        <f t="shared" si="22"/>
        <v>287.3</v>
      </c>
      <c r="M80" s="3">
        <v>1</v>
      </c>
      <c r="N80" s="3" t="s">
        <v>270</v>
      </c>
      <c r="O80" s="3">
        <v>2400</v>
      </c>
      <c r="P80" s="3" t="s">
        <v>271</v>
      </c>
    </row>
    <row r="81" spans="1:12" ht="19.5" customHeight="1" hidden="1">
      <c r="A81" s="104"/>
      <c r="B81" s="81" t="s">
        <v>72</v>
      </c>
      <c r="C81" s="102"/>
      <c r="D81" s="84"/>
      <c r="E81" s="84"/>
      <c r="F81" s="84"/>
      <c r="G81" s="84"/>
      <c r="H81" s="84"/>
      <c r="I81" s="84"/>
      <c r="J81" s="84"/>
      <c r="K81" s="102"/>
      <c r="L81" s="84"/>
    </row>
    <row r="82" spans="1:12" ht="22.5" customHeight="1">
      <c r="A82" s="56"/>
      <c r="B82" s="86" t="s">
        <v>100</v>
      </c>
      <c r="C82" s="102">
        <f>60</f>
        <v>60</v>
      </c>
      <c r="D82" s="76"/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102">
        <f>D82+E82+F82+G82+H82+I82+J82</f>
        <v>0</v>
      </c>
      <c r="L82" s="76">
        <f t="shared" si="22"/>
        <v>60</v>
      </c>
    </row>
    <row r="83" spans="1:12" ht="16.5">
      <c r="A83" s="56" t="s">
        <v>146</v>
      </c>
      <c r="B83" s="86" t="s">
        <v>10</v>
      </c>
      <c r="C83" s="102">
        <f>C85+C86+C87</f>
        <v>21349.2</v>
      </c>
      <c r="D83" s="76">
        <f aca="true" t="shared" si="23" ref="D83:J83">D85+D86+D87</f>
        <v>0</v>
      </c>
      <c r="E83" s="76">
        <f t="shared" si="23"/>
        <v>0</v>
      </c>
      <c r="F83" s="76">
        <f t="shared" si="23"/>
        <v>0</v>
      </c>
      <c r="G83" s="76">
        <f t="shared" si="23"/>
        <v>0</v>
      </c>
      <c r="H83" s="76">
        <f t="shared" si="23"/>
        <v>0</v>
      </c>
      <c r="I83" s="76">
        <f t="shared" si="23"/>
        <v>0</v>
      </c>
      <c r="J83" s="76">
        <f t="shared" si="23"/>
        <v>0</v>
      </c>
      <c r="K83" s="102">
        <f>K85+K86+K87</f>
        <v>0</v>
      </c>
      <c r="L83" s="76">
        <f t="shared" si="22"/>
        <v>21349.2</v>
      </c>
    </row>
    <row r="84" spans="1:12" ht="16.5">
      <c r="A84" s="56"/>
      <c r="B84" s="86" t="s">
        <v>136</v>
      </c>
      <c r="C84" s="102"/>
      <c r="D84" s="76"/>
      <c r="E84" s="76"/>
      <c r="F84" s="76"/>
      <c r="G84" s="76"/>
      <c r="H84" s="76"/>
      <c r="I84" s="76"/>
      <c r="J84" s="76"/>
      <c r="K84" s="102"/>
      <c r="L84" s="76">
        <f t="shared" si="22"/>
        <v>0</v>
      </c>
    </row>
    <row r="85" spans="1:12" ht="16.5">
      <c r="A85" s="56"/>
      <c r="B85" s="63" t="s">
        <v>147</v>
      </c>
      <c r="C85" s="102">
        <f>2673</f>
        <v>2673</v>
      </c>
      <c r="D85" s="76"/>
      <c r="E85" s="76"/>
      <c r="F85" s="76"/>
      <c r="G85" s="76"/>
      <c r="H85" s="76"/>
      <c r="I85" s="76"/>
      <c r="J85" s="76"/>
      <c r="K85" s="102">
        <f>D85+E85+F85+G85+H85+I85+J85</f>
        <v>0</v>
      </c>
      <c r="L85" s="76">
        <f t="shared" si="22"/>
        <v>2673</v>
      </c>
    </row>
    <row r="86" spans="1:14" ht="51.75" customHeight="1">
      <c r="A86" s="56"/>
      <c r="B86" s="63" t="s">
        <v>275</v>
      </c>
      <c r="C86" s="102">
        <f>18186.2</f>
        <v>18186.2</v>
      </c>
      <c r="D86" s="76"/>
      <c r="E86" s="76"/>
      <c r="F86" s="76"/>
      <c r="G86" s="76"/>
      <c r="H86" s="76"/>
      <c r="I86" s="76"/>
      <c r="J86" s="76"/>
      <c r="K86" s="102">
        <f>D86+E86+F86+G86+H86+I86+J86</f>
        <v>0</v>
      </c>
      <c r="L86" s="76">
        <f t="shared" si="22"/>
        <v>18186.2</v>
      </c>
      <c r="M86" s="3">
        <v>100</v>
      </c>
      <c r="N86" s="3" t="s">
        <v>270</v>
      </c>
    </row>
    <row r="87" spans="1:12" ht="16.5">
      <c r="A87" s="56"/>
      <c r="B87" s="63" t="s">
        <v>100</v>
      </c>
      <c r="C87" s="102">
        <f>490</f>
        <v>490</v>
      </c>
      <c r="D87" s="76"/>
      <c r="E87" s="76"/>
      <c r="F87" s="76"/>
      <c r="G87" s="76"/>
      <c r="H87" s="76"/>
      <c r="I87" s="76"/>
      <c r="J87" s="76"/>
      <c r="K87" s="102">
        <f>D87+E87+F87+G87+H87+I87+J87</f>
        <v>0</v>
      </c>
      <c r="L87" s="76">
        <f t="shared" si="22"/>
        <v>490</v>
      </c>
    </row>
    <row r="88" spans="1:12" s="1" customFormat="1" ht="41.25" customHeight="1">
      <c r="A88" s="56" t="s">
        <v>150</v>
      </c>
      <c r="B88" s="75" t="s">
        <v>151</v>
      </c>
      <c r="C88" s="102">
        <f>C89+C94</f>
        <v>66025</v>
      </c>
      <c r="D88" s="76">
        <f aca="true" t="shared" si="24" ref="D88:J88">D89+D94</f>
        <v>0</v>
      </c>
      <c r="E88" s="76">
        <f t="shared" si="24"/>
        <v>0</v>
      </c>
      <c r="F88" s="76">
        <f t="shared" si="24"/>
        <v>0</v>
      </c>
      <c r="G88" s="76">
        <f t="shared" si="24"/>
        <v>0</v>
      </c>
      <c r="H88" s="76">
        <f t="shared" si="24"/>
        <v>0</v>
      </c>
      <c r="I88" s="76">
        <f t="shared" si="24"/>
        <v>0</v>
      </c>
      <c r="J88" s="76">
        <f t="shared" si="24"/>
        <v>0</v>
      </c>
      <c r="K88" s="102">
        <f>K89+K94</f>
        <v>0</v>
      </c>
      <c r="L88" s="76">
        <f t="shared" si="22"/>
        <v>66025</v>
      </c>
    </row>
    <row r="89" spans="1:12" ht="22.5" customHeight="1">
      <c r="A89" s="56" t="s">
        <v>152</v>
      </c>
      <c r="B89" s="63" t="s">
        <v>276</v>
      </c>
      <c r="C89" s="102">
        <f aca="true" t="shared" si="25" ref="C89:J89">C90+C91+C92+C93</f>
        <v>62555.8</v>
      </c>
      <c r="D89" s="76">
        <f t="shared" si="25"/>
        <v>0</v>
      </c>
      <c r="E89" s="76">
        <f t="shared" si="25"/>
        <v>0</v>
      </c>
      <c r="F89" s="76"/>
      <c r="G89" s="76">
        <f t="shared" si="25"/>
        <v>0</v>
      </c>
      <c r="H89" s="76">
        <f t="shared" si="25"/>
        <v>0</v>
      </c>
      <c r="I89" s="76">
        <f t="shared" si="25"/>
        <v>0</v>
      </c>
      <c r="J89" s="76">
        <f t="shared" si="25"/>
        <v>0</v>
      </c>
      <c r="K89" s="102">
        <f>K90+K91+K92+K93</f>
        <v>0</v>
      </c>
      <c r="L89" s="76">
        <f t="shared" si="22"/>
        <v>62555.8</v>
      </c>
    </row>
    <row r="90" spans="1:12" ht="42" customHeight="1">
      <c r="A90" s="56"/>
      <c r="B90" s="63" t="s">
        <v>277</v>
      </c>
      <c r="C90" s="102">
        <f>62555.8</f>
        <v>62555.8</v>
      </c>
      <c r="D90" s="76"/>
      <c r="E90" s="76"/>
      <c r="F90" s="76"/>
      <c r="G90" s="76"/>
      <c r="H90" s="76"/>
      <c r="I90" s="76"/>
      <c r="J90" s="76"/>
      <c r="K90" s="102">
        <f>D90+E90+F90+G90+H90+I90+J90</f>
        <v>0</v>
      </c>
      <c r="L90" s="76">
        <f t="shared" si="22"/>
        <v>62555.8</v>
      </c>
    </row>
    <row r="91" spans="1:12" ht="16.5" hidden="1">
      <c r="A91" s="56"/>
      <c r="B91" s="63" t="s">
        <v>278</v>
      </c>
      <c r="C91" s="102"/>
      <c r="D91" s="76"/>
      <c r="E91" s="76"/>
      <c r="F91" s="76"/>
      <c r="G91" s="76"/>
      <c r="H91" s="76"/>
      <c r="I91" s="76"/>
      <c r="J91" s="76"/>
      <c r="K91" s="102">
        <f>D91+E91+F91+G91+H91+I91+J91</f>
        <v>0</v>
      </c>
      <c r="L91" s="76"/>
    </row>
    <row r="92" spans="1:12" ht="16.5" hidden="1">
      <c r="A92" s="56"/>
      <c r="B92" s="63" t="s">
        <v>279</v>
      </c>
      <c r="C92" s="102"/>
      <c r="D92" s="76"/>
      <c r="E92" s="76"/>
      <c r="F92" s="76"/>
      <c r="G92" s="76"/>
      <c r="H92" s="76"/>
      <c r="I92" s="76"/>
      <c r="J92" s="76"/>
      <c r="K92" s="102">
        <f>D92+E92+F92+G92+H92+I92+J92</f>
        <v>0</v>
      </c>
      <c r="L92" s="76">
        <f t="shared" si="22"/>
        <v>0</v>
      </c>
    </row>
    <row r="93" spans="1:14" ht="16.5" customHeight="1" hidden="1">
      <c r="A93" s="56"/>
      <c r="B93" s="63" t="s">
        <v>270</v>
      </c>
      <c r="C93" s="102"/>
      <c r="D93" s="76"/>
      <c r="E93" s="76"/>
      <c r="F93" s="76"/>
      <c r="G93" s="76"/>
      <c r="H93" s="76"/>
      <c r="I93" s="76"/>
      <c r="J93" s="76"/>
      <c r="K93" s="102">
        <f>D93+E93+F93+G93+H93+I93+J93</f>
        <v>0</v>
      </c>
      <c r="L93" s="76">
        <f t="shared" si="22"/>
        <v>0</v>
      </c>
      <c r="M93" s="3">
        <v>160</v>
      </c>
      <c r="N93" s="3" t="s">
        <v>270</v>
      </c>
    </row>
    <row r="94" spans="1:12" ht="16.5">
      <c r="A94" s="56" t="s">
        <v>154</v>
      </c>
      <c r="B94" s="63" t="s">
        <v>155</v>
      </c>
      <c r="C94" s="102">
        <f>C96+C97+C98</f>
        <v>3469.2</v>
      </c>
      <c r="D94" s="76">
        <f aca="true" t="shared" si="26" ref="D94:J94">D96+D97+D98</f>
        <v>0</v>
      </c>
      <c r="E94" s="76">
        <f t="shared" si="26"/>
        <v>0</v>
      </c>
      <c r="F94" s="76"/>
      <c r="G94" s="76">
        <f t="shared" si="26"/>
        <v>0</v>
      </c>
      <c r="H94" s="76">
        <f t="shared" si="26"/>
        <v>0</v>
      </c>
      <c r="I94" s="76">
        <f t="shared" si="26"/>
        <v>0</v>
      </c>
      <c r="J94" s="76">
        <f t="shared" si="26"/>
        <v>0</v>
      </c>
      <c r="K94" s="102">
        <f>K96+K97+K98</f>
        <v>0</v>
      </c>
      <c r="L94" s="76">
        <f t="shared" si="22"/>
        <v>3469.2</v>
      </c>
    </row>
    <row r="95" spans="1:12" ht="16.5">
      <c r="A95" s="56"/>
      <c r="B95" s="63" t="s">
        <v>136</v>
      </c>
      <c r="C95" s="102"/>
      <c r="D95" s="76"/>
      <c r="E95" s="76"/>
      <c r="F95" s="76"/>
      <c r="G95" s="76"/>
      <c r="H95" s="76"/>
      <c r="I95" s="76"/>
      <c r="J95" s="76"/>
      <c r="K95" s="102"/>
      <c r="L95" s="76">
        <f t="shared" si="22"/>
        <v>0</v>
      </c>
    </row>
    <row r="96" spans="1:12" ht="20.25" customHeight="1">
      <c r="A96" s="56"/>
      <c r="B96" s="63" t="s">
        <v>147</v>
      </c>
      <c r="C96" s="102">
        <f>868.4</f>
        <v>868.4</v>
      </c>
      <c r="D96" s="76"/>
      <c r="E96" s="76"/>
      <c r="F96" s="76"/>
      <c r="G96" s="76"/>
      <c r="H96" s="76"/>
      <c r="I96" s="76"/>
      <c r="J96" s="76"/>
      <c r="K96" s="102">
        <f>D96+E96+F96+G96+H96+I96+J96</f>
        <v>0</v>
      </c>
      <c r="L96" s="76">
        <f t="shared" si="22"/>
        <v>868.4</v>
      </c>
    </row>
    <row r="97" spans="1:14" ht="25.5" customHeight="1">
      <c r="A97" s="56"/>
      <c r="B97" s="63" t="s">
        <v>157</v>
      </c>
      <c r="C97" s="102">
        <f>2010.8</f>
        <v>2010.8</v>
      </c>
      <c r="D97" s="76"/>
      <c r="E97" s="76"/>
      <c r="F97" s="76"/>
      <c r="G97" s="76"/>
      <c r="H97" s="76"/>
      <c r="I97" s="76"/>
      <c r="J97" s="76"/>
      <c r="K97" s="102">
        <f>D97+E97+F97+G97+H97+I97+J97</f>
        <v>0</v>
      </c>
      <c r="L97" s="76">
        <f t="shared" si="22"/>
        <v>2010.8</v>
      </c>
      <c r="M97" s="3">
        <v>5</v>
      </c>
      <c r="N97" s="3" t="s">
        <v>270</v>
      </c>
    </row>
    <row r="98" spans="1:12" ht="19.5" customHeight="1">
      <c r="A98" s="56"/>
      <c r="B98" s="63" t="s">
        <v>100</v>
      </c>
      <c r="C98" s="102">
        <f>590</f>
        <v>590</v>
      </c>
      <c r="D98" s="76"/>
      <c r="E98" s="76"/>
      <c r="F98" s="76"/>
      <c r="G98" s="76"/>
      <c r="H98" s="76"/>
      <c r="I98" s="76"/>
      <c r="J98" s="76"/>
      <c r="K98" s="102">
        <f>D98+E98+F98+G98+H98+I98+J98</f>
        <v>0</v>
      </c>
      <c r="L98" s="76">
        <f t="shared" si="22"/>
        <v>590</v>
      </c>
    </row>
    <row r="99" spans="1:12" s="1" customFormat="1" ht="16.5" hidden="1">
      <c r="A99" s="56" t="s">
        <v>158</v>
      </c>
      <c r="B99" s="75" t="s">
        <v>159</v>
      </c>
      <c r="C99" s="102">
        <f>C100+C101+C102+C103</f>
        <v>0</v>
      </c>
      <c r="D99" s="76"/>
      <c r="E99" s="76"/>
      <c r="F99" s="76"/>
      <c r="G99" s="76"/>
      <c r="H99" s="76"/>
      <c r="I99" s="76"/>
      <c r="J99" s="76"/>
      <c r="K99" s="102">
        <f>K100+K101+K102+K103</f>
        <v>0</v>
      </c>
      <c r="L99" s="76">
        <f t="shared" si="22"/>
        <v>0</v>
      </c>
    </row>
    <row r="100" spans="1:12" ht="16.5" hidden="1">
      <c r="A100" s="56" t="s">
        <v>160</v>
      </c>
      <c r="B100" s="63" t="s">
        <v>161</v>
      </c>
      <c r="C100" s="102">
        <f>0</f>
        <v>0</v>
      </c>
      <c r="D100" s="76"/>
      <c r="E100" s="76"/>
      <c r="F100" s="76"/>
      <c r="G100" s="76"/>
      <c r="H100" s="76"/>
      <c r="I100" s="76"/>
      <c r="J100" s="76"/>
      <c r="K100" s="102">
        <v>0</v>
      </c>
      <c r="L100" s="76">
        <f t="shared" si="22"/>
        <v>0</v>
      </c>
    </row>
    <row r="101" spans="1:12" ht="49.5" hidden="1">
      <c r="A101" s="56" t="s">
        <v>162</v>
      </c>
      <c r="B101" s="63" t="s">
        <v>163</v>
      </c>
      <c r="C101" s="102">
        <f>0</f>
        <v>0</v>
      </c>
      <c r="D101" s="76"/>
      <c r="E101" s="76"/>
      <c r="F101" s="76"/>
      <c r="G101" s="76"/>
      <c r="H101" s="76"/>
      <c r="I101" s="76"/>
      <c r="J101" s="76"/>
      <c r="K101" s="102">
        <v>0</v>
      </c>
      <c r="L101" s="76">
        <f t="shared" si="22"/>
        <v>0</v>
      </c>
    </row>
    <row r="102" spans="1:12" ht="49.5" hidden="1">
      <c r="A102" s="56" t="s">
        <v>164</v>
      </c>
      <c r="B102" s="63" t="s">
        <v>165</v>
      </c>
      <c r="C102" s="102">
        <f>0</f>
        <v>0</v>
      </c>
      <c r="D102" s="76"/>
      <c r="E102" s="76"/>
      <c r="F102" s="76"/>
      <c r="G102" s="76"/>
      <c r="H102" s="76"/>
      <c r="I102" s="76"/>
      <c r="J102" s="76"/>
      <c r="K102" s="102">
        <v>0</v>
      </c>
      <c r="L102" s="76">
        <f t="shared" si="22"/>
        <v>0</v>
      </c>
    </row>
    <row r="103" spans="1:13" ht="49.5" hidden="1">
      <c r="A103" s="56" t="s">
        <v>166</v>
      </c>
      <c r="B103" s="63" t="s">
        <v>167</v>
      </c>
      <c r="C103" s="102">
        <f>0</f>
        <v>0</v>
      </c>
      <c r="D103" s="76"/>
      <c r="E103" s="76"/>
      <c r="F103" s="76"/>
      <c r="G103" s="76"/>
      <c r="H103" s="76"/>
      <c r="I103" s="76"/>
      <c r="J103" s="76"/>
      <c r="K103" s="102">
        <f>K105+K106</f>
        <v>0</v>
      </c>
      <c r="L103" s="76">
        <f t="shared" si="22"/>
        <v>0</v>
      </c>
      <c r="M103" s="3" t="s">
        <v>168</v>
      </c>
    </row>
    <row r="104" spans="1:12" ht="16.5" hidden="1">
      <c r="A104" s="56"/>
      <c r="B104" s="63" t="s">
        <v>136</v>
      </c>
      <c r="C104" s="102"/>
      <c r="D104" s="76"/>
      <c r="E104" s="76"/>
      <c r="F104" s="76"/>
      <c r="G104" s="76"/>
      <c r="H104" s="76"/>
      <c r="I104" s="76"/>
      <c r="J104" s="76"/>
      <c r="K104" s="102"/>
      <c r="L104" s="76">
        <f t="shared" si="22"/>
        <v>0</v>
      </c>
    </row>
    <row r="105" spans="1:12" ht="16.5" hidden="1">
      <c r="A105" s="56"/>
      <c r="B105" s="63" t="s">
        <v>147</v>
      </c>
      <c r="C105" s="102">
        <v>0</v>
      </c>
      <c r="D105" s="76"/>
      <c r="E105" s="76"/>
      <c r="F105" s="76"/>
      <c r="G105" s="76"/>
      <c r="H105" s="76"/>
      <c r="I105" s="76"/>
      <c r="J105" s="76"/>
      <c r="K105" s="102">
        <v>0</v>
      </c>
      <c r="L105" s="76">
        <f t="shared" si="22"/>
        <v>0</v>
      </c>
    </row>
    <row r="106" spans="1:12" ht="16.5" hidden="1">
      <c r="A106" s="56"/>
      <c r="B106" s="63" t="s">
        <v>100</v>
      </c>
      <c r="C106" s="102">
        <f>0</f>
        <v>0</v>
      </c>
      <c r="D106" s="76"/>
      <c r="E106" s="76"/>
      <c r="F106" s="76"/>
      <c r="G106" s="76"/>
      <c r="H106" s="76"/>
      <c r="I106" s="76"/>
      <c r="J106" s="76"/>
      <c r="K106" s="102">
        <v>0</v>
      </c>
      <c r="L106" s="76">
        <f t="shared" si="22"/>
        <v>0</v>
      </c>
    </row>
    <row r="107" spans="1:12" s="1" customFormat="1" ht="24.75" customHeight="1">
      <c r="A107" s="56" t="s">
        <v>169</v>
      </c>
      <c r="B107" s="75" t="s">
        <v>170</v>
      </c>
      <c r="C107" s="102">
        <f>C108+C109+C114</f>
        <v>20584</v>
      </c>
      <c r="D107" s="76">
        <f aca="true" t="shared" si="27" ref="D107:J107">D108+D109+D114</f>
        <v>320</v>
      </c>
      <c r="E107" s="76">
        <f t="shared" si="27"/>
        <v>36</v>
      </c>
      <c r="F107" s="76">
        <f t="shared" si="27"/>
        <v>30</v>
      </c>
      <c r="G107" s="76">
        <f t="shared" si="27"/>
        <v>18</v>
      </c>
      <c r="H107" s="76">
        <f t="shared" si="27"/>
        <v>66</v>
      </c>
      <c r="I107" s="76">
        <f t="shared" si="27"/>
        <v>18</v>
      </c>
      <c r="J107" s="76">
        <f t="shared" si="27"/>
        <v>108</v>
      </c>
      <c r="K107" s="102">
        <f>K108+K109+K114</f>
        <v>596</v>
      </c>
      <c r="L107" s="76">
        <f t="shared" si="22"/>
        <v>21180</v>
      </c>
    </row>
    <row r="108" spans="1:12" ht="37.5" customHeight="1">
      <c r="A108" s="56" t="s">
        <v>171</v>
      </c>
      <c r="B108" s="63" t="s">
        <v>172</v>
      </c>
      <c r="C108" s="102">
        <f>1100</f>
        <v>1100</v>
      </c>
      <c r="D108" s="76">
        <f>320</f>
        <v>320</v>
      </c>
      <c r="E108" s="76">
        <v>36</v>
      </c>
      <c r="F108" s="76">
        <v>30</v>
      </c>
      <c r="G108" s="76">
        <v>18</v>
      </c>
      <c r="H108" s="76">
        <v>66</v>
      </c>
      <c r="I108" s="76">
        <v>18</v>
      </c>
      <c r="J108" s="76">
        <f>108</f>
        <v>108</v>
      </c>
      <c r="K108" s="102">
        <f>D108+E108+F108+G108+H108+I108+J108</f>
        <v>596</v>
      </c>
      <c r="L108" s="76">
        <f t="shared" si="22"/>
        <v>1696</v>
      </c>
    </row>
    <row r="109" spans="1:12" ht="18.75" customHeight="1">
      <c r="A109" s="56" t="s">
        <v>173</v>
      </c>
      <c r="B109" s="63" t="s">
        <v>280</v>
      </c>
      <c r="C109" s="102">
        <f aca="true" t="shared" si="28" ref="C109:J109">C110+C111+C112+C113</f>
        <v>15861.1</v>
      </c>
      <c r="D109" s="76">
        <f t="shared" si="28"/>
        <v>0</v>
      </c>
      <c r="E109" s="76">
        <f t="shared" si="28"/>
        <v>0</v>
      </c>
      <c r="F109" s="76"/>
      <c r="G109" s="76">
        <f t="shared" si="28"/>
        <v>0</v>
      </c>
      <c r="H109" s="76">
        <f t="shared" si="28"/>
        <v>0</v>
      </c>
      <c r="I109" s="76">
        <f t="shared" si="28"/>
        <v>0</v>
      </c>
      <c r="J109" s="76">
        <f t="shared" si="28"/>
        <v>0</v>
      </c>
      <c r="K109" s="102">
        <f>K110+K111+K112+K113</f>
        <v>0</v>
      </c>
      <c r="L109" s="76">
        <f t="shared" si="22"/>
        <v>15861.1</v>
      </c>
    </row>
    <row r="110" spans="1:12" ht="39" customHeight="1">
      <c r="A110" s="56"/>
      <c r="B110" s="63" t="s">
        <v>281</v>
      </c>
      <c r="C110" s="102">
        <f>15816.1</f>
        <v>15816.1</v>
      </c>
      <c r="D110" s="76"/>
      <c r="E110" s="76"/>
      <c r="F110" s="76"/>
      <c r="G110" s="76"/>
      <c r="H110" s="76"/>
      <c r="I110" s="76"/>
      <c r="J110" s="76"/>
      <c r="K110" s="102">
        <f>D110+E110+F110+G110+H110+I110+J110</f>
        <v>0</v>
      </c>
      <c r="L110" s="76">
        <f t="shared" si="22"/>
        <v>15816.1</v>
      </c>
    </row>
    <row r="111" spans="1:12" ht="27" customHeight="1">
      <c r="A111" s="56"/>
      <c r="B111" s="63" t="s">
        <v>174</v>
      </c>
      <c r="C111" s="102">
        <f>35</f>
        <v>35</v>
      </c>
      <c r="D111" s="76"/>
      <c r="E111" s="76"/>
      <c r="F111" s="76">
        <v>0</v>
      </c>
      <c r="G111" s="76"/>
      <c r="H111" s="76"/>
      <c r="I111" s="76"/>
      <c r="J111" s="76"/>
      <c r="K111" s="102">
        <f>D111+E111+F111+G111+H111+I111+J111</f>
        <v>0</v>
      </c>
      <c r="L111" s="76">
        <f t="shared" si="22"/>
        <v>35</v>
      </c>
    </row>
    <row r="112" spans="1:12" ht="16.5" hidden="1">
      <c r="A112" s="56"/>
      <c r="B112" s="63" t="s">
        <v>175</v>
      </c>
      <c r="C112" s="102">
        <f>0</f>
        <v>0</v>
      </c>
      <c r="D112" s="76"/>
      <c r="E112" s="76"/>
      <c r="F112" s="76"/>
      <c r="G112" s="76"/>
      <c r="H112" s="76"/>
      <c r="I112" s="76"/>
      <c r="J112" s="76"/>
      <c r="K112" s="102">
        <f>D112+E112+F112+G112+H112+I112+J112</f>
        <v>0</v>
      </c>
      <c r="L112" s="76">
        <f t="shared" si="22"/>
        <v>0</v>
      </c>
    </row>
    <row r="113" spans="1:12" ht="16.5">
      <c r="A113" s="56"/>
      <c r="B113" s="63" t="s">
        <v>297</v>
      </c>
      <c r="C113" s="102">
        <f>10</f>
        <v>10</v>
      </c>
      <c r="D113" s="76"/>
      <c r="E113" s="76"/>
      <c r="F113" s="76"/>
      <c r="G113" s="76"/>
      <c r="H113" s="76"/>
      <c r="I113" s="76"/>
      <c r="J113" s="76"/>
      <c r="K113" s="102">
        <f>D113+E113+F113+G113+H113+I113+J113</f>
        <v>0</v>
      </c>
      <c r="L113" s="76">
        <f t="shared" si="22"/>
        <v>10</v>
      </c>
    </row>
    <row r="114" spans="1:12" ht="24.75" customHeight="1">
      <c r="A114" s="56" t="s">
        <v>176</v>
      </c>
      <c r="B114" s="63" t="s">
        <v>13</v>
      </c>
      <c r="C114" s="102">
        <f>3622.9</f>
        <v>3622.9</v>
      </c>
      <c r="D114" s="76"/>
      <c r="E114" s="76"/>
      <c r="F114" s="76"/>
      <c r="G114" s="76"/>
      <c r="H114" s="76"/>
      <c r="I114" s="76"/>
      <c r="J114" s="76"/>
      <c r="K114" s="102">
        <f>D114+E114+F114+G114+H114+I114+J114</f>
        <v>0</v>
      </c>
      <c r="L114" s="76">
        <f t="shared" si="22"/>
        <v>3622.9</v>
      </c>
    </row>
    <row r="115" spans="1:12" ht="37.5" customHeight="1">
      <c r="A115" s="56" t="s">
        <v>177</v>
      </c>
      <c r="B115" s="75" t="s">
        <v>178</v>
      </c>
      <c r="C115" s="102">
        <f>C116+C120</f>
        <v>596.1</v>
      </c>
      <c r="D115" s="76">
        <f>D116+D120</f>
        <v>26978</v>
      </c>
      <c r="E115" s="76">
        <f aca="true" t="shared" si="29" ref="E115:J115">E116+E120</f>
        <v>0</v>
      </c>
      <c r="F115" s="76">
        <f t="shared" si="29"/>
        <v>0</v>
      </c>
      <c r="G115" s="76">
        <f t="shared" si="29"/>
        <v>0</v>
      </c>
      <c r="H115" s="76">
        <f t="shared" si="29"/>
        <v>0</v>
      </c>
      <c r="I115" s="76">
        <f t="shared" si="29"/>
        <v>0</v>
      </c>
      <c r="J115" s="76">
        <f t="shared" si="29"/>
        <v>0</v>
      </c>
      <c r="K115" s="102">
        <f>K116+K120</f>
        <v>26978</v>
      </c>
      <c r="L115" s="76">
        <f>C115+K115</f>
        <v>27574.1</v>
      </c>
    </row>
    <row r="116" spans="1:12" ht="19.5" customHeight="1">
      <c r="A116" s="56" t="s">
        <v>179</v>
      </c>
      <c r="B116" s="63" t="s">
        <v>283</v>
      </c>
      <c r="C116" s="102">
        <f>C117+C118+C119</f>
        <v>0</v>
      </c>
      <c r="D116" s="76">
        <f>D118</f>
        <v>26978</v>
      </c>
      <c r="E116" s="76"/>
      <c r="F116" s="76"/>
      <c r="G116" s="76"/>
      <c r="H116" s="76"/>
      <c r="I116" s="76"/>
      <c r="J116" s="76"/>
      <c r="K116" s="102">
        <f>K117+K118</f>
        <v>26978</v>
      </c>
      <c r="L116" s="76">
        <f t="shared" si="22"/>
        <v>26978</v>
      </c>
    </row>
    <row r="117" spans="1:14" ht="16.5" hidden="1">
      <c r="A117" s="56"/>
      <c r="B117" s="63" t="s">
        <v>181</v>
      </c>
      <c r="C117" s="102">
        <f>0</f>
        <v>0</v>
      </c>
      <c r="D117" s="76"/>
      <c r="E117" s="76"/>
      <c r="F117" s="76"/>
      <c r="G117" s="76"/>
      <c r="H117" s="76"/>
      <c r="I117" s="76"/>
      <c r="J117" s="76"/>
      <c r="K117" s="102"/>
      <c r="L117" s="76"/>
      <c r="M117" s="3">
        <f>1900</f>
        <v>1900</v>
      </c>
      <c r="N117" s="3" t="s">
        <v>270</v>
      </c>
    </row>
    <row r="118" spans="1:14" s="1" customFormat="1" ht="19.5" customHeight="1">
      <c r="A118" s="56"/>
      <c r="B118" s="75" t="s">
        <v>284</v>
      </c>
      <c r="C118" s="102"/>
      <c r="D118" s="76">
        <f>26978</f>
        <v>26978</v>
      </c>
      <c r="E118" s="76"/>
      <c r="F118" s="76"/>
      <c r="G118" s="76"/>
      <c r="H118" s="76"/>
      <c r="I118" s="76"/>
      <c r="J118" s="76"/>
      <c r="K118" s="102">
        <f>D118+E118+F118+G118+H118+I118+J118</f>
        <v>26978</v>
      </c>
      <c r="L118" s="76">
        <f t="shared" si="22"/>
        <v>26978</v>
      </c>
      <c r="M118" s="1">
        <v>1100</v>
      </c>
      <c r="N118" s="1" t="s">
        <v>285</v>
      </c>
    </row>
    <row r="119" spans="1:12" ht="23.25" customHeight="1">
      <c r="A119" s="56"/>
      <c r="B119" s="63" t="s">
        <v>181</v>
      </c>
      <c r="C119" s="102">
        <f>0</f>
        <v>0</v>
      </c>
      <c r="D119" s="76">
        <f>2530.2</f>
        <v>2530.2</v>
      </c>
      <c r="E119" s="76"/>
      <c r="F119" s="76"/>
      <c r="G119" s="76"/>
      <c r="H119" s="76"/>
      <c r="I119" s="76"/>
      <c r="J119" s="76"/>
      <c r="K119" s="102">
        <f>D119+E119+F119+G119+H119+I119+J119</f>
        <v>2530.2</v>
      </c>
      <c r="L119" s="76">
        <f t="shared" si="22"/>
        <v>2530.2</v>
      </c>
    </row>
    <row r="120" spans="1:12" ht="33">
      <c r="A120" s="56" t="s">
        <v>183</v>
      </c>
      <c r="B120" s="63" t="s">
        <v>184</v>
      </c>
      <c r="C120" s="102">
        <f>C121+C122</f>
        <v>596.1</v>
      </c>
      <c r="D120" s="76">
        <f aca="true" t="shared" si="30" ref="D120:J120">D121+D122</f>
        <v>0</v>
      </c>
      <c r="E120" s="76">
        <f t="shared" si="30"/>
        <v>0</v>
      </c>
      <c r="F120" s="76">
        <f t="shared" si="30"/>
        <v>0</v>
      </c>
      <c r="G120" s="76">
        <f t="shared" si="30"/>
        <v>0</v>
      </c>
      <c r="H120" s="76">
        <f t="shared" si="30"/>
        <v>0</v>
      </c>
      <c r="I120" s="76">
        <f t="shared" si="30"/>
        <v>0</v>
      </c>
      <c r="J120" s="76">
        <f t="shared" si="30"/>
        <v>0</v>
      </c>
      <c r="K120" s="102">
        <f>D120+E120+F120+G120+H120+I120+J120</f>
        <v>0</v>
      </c>
      <c r="L120" s="76">
        <f t="shared" si="22"/>
        <v>596.1</v>
      </c>
    </row>
    <row r="121" spans="1:12" ht="19.5" customHeight="1">
      <c r="A121" s="56"/>
      <c r="B121" s="63" t="s">
        <v>147</v>
      </c>
      <c r="C121" s="102">
        <f>596.1</f>
        <v>596.1</v>
      </c>
      <c r="D121" s="76"/>
      <c r="E121" s="76"/>
      <c r="F121" s="76"/>
      <c r="G121" s="76"/>
      <c r="H121" s="76"/>
      <c r="I121" s="76"/>
      <c r="J121" s="76"/>
      <c r="K121" s="102">
        <f>D121+E121+F121+G121+H121+I121+J121</f>
        <v>0</v>
      </c>
      <c r="L121" s="76">
        <f t="shared" si="22"/>
        <v>596.1</v>
      </c>
    </row>
    <row r="122" spans="1:12" ht="16.5" hidden="1">
      <c r="A122" s="104"/>
      <c r="B122" s="81" t="s">
        <v>100</v>
      </c>
      <c r="C122" s="102">
        <v>0</v>
      </c>
      <c r="D122" s="84"/>
      <c r="E122" s="84"/>
      <c r="F122" s="84"/>
      <c r="G122" s="84"/>
      <c r="H122" s="84"/>
      <c r="I122" s="84"/>
      <c r="J122" s="84"/>
      <c r="K122" s="102">
        <v>0</v>
      </c>
      <c r="L122" s="84">
        <f t="shared" si="22"/>
        <v>0</v>
      </c>
    </row>
    <row r="123" spans="1:12" ht="40.5" customHeight="1">
      <c r="A123" s="56" t="s">
        <v>185</v>
      </c>
      <c r="B123" s="75" t="s">
        <v>186</v>
      </c>
      <c r="C123" s="102">
        <f>C124</f>
        <v>320</v>
      </c>
      <c r="D123" s="76">
        <f aca="true" t="shared" si="31" ref="D123:J123">D124</f>
        <v>70</v>
      </c>
      <c r="E123" s="76">
        <f t="shared" si="31"/>
        <v>0</v>
      </c>
      <c r="F123" s="76">
        <f t="shared" si="31"/>
        <v>0</v>
      </c>
      <c r="G123" s="76">
        <f t="shared" si="31"/>
        <v>0</v>
      </c>
      <c r="H123" s="76">
        <f t="shared" si="31"/>
        <v>0</v>
      </c>
      <c r="I123" s="76">
        <f t="shared" si="31"/>
        <v>0</v>
      </c>
      <c r="J123" s="76">
        <f t="shared" si="31"/>
        <v>0</v>
      </c>
      <c r="K123" s="102">
        <f>K124</f>
        <v>70</v>
      </c>
      <c r="L123" s="76">
        <f t="shared" si="22"/>
        <v>390</v>
      </c>
    </row>
    <row r="124" spans="1:12" ht="24.75" customHeight="1">
      <c r="A124" s="56" t="s">
        <v>187</v>
      </c>
      <c r="B124" s="63" t="s">
        <v>9</v>
      </c>
      <c r="C124" s="102">
        <f>320</f>
        <v>320</v>
      </c>
      <c r="D124" s="76">
        <f>70</f>
        <v>70</v>
      </c>
      <c r="E124" s="76"/>
      <c r="F124" s="76"/>
      <c r="G124" s="76"/>
      <c r="H124" s="76"/>
      <c r="I124" s="76"/>
      <c r="J124" s="76"/>
      <c r="K124" s="102">
        <f>D124+E124+F124+G124+H124+I124+J124</f>
        <v>70</v>
      </c>
      <c r="L124" s="76">
        <f t="shared" si="22"/>
        <v>390</v>
      </c>
    </row>
    <row r="125" spans="1:12" s="1" customFormat="1" ht="45.75" customHeight="1">
      <c r="A125" s="56" t="s">
        <v>188</v>
      </c>
      <c r="B125" s="75" t="s">
        <v>189</v>
      </c>
      <c r="C125" s="102">
        <f>C126</f>
        <v>2200</v>
      </c>
      <c r="D125" s="76">
        <f aca="true" t="shared" si="32" ref="D125:J125">D126</f>
        <v>0</v>
      </c>
      <c r="E125" s="76">
        <f t="shared" si="32"/>
        <v>0</v>
      </c>
      <c r="F125" s="76">
        <f t="shared" si="32"/>
        <v>0</v>
      </c>
      <c r="G125" s="76">
        <f t="shared" si="32"/>
        <v>0</v>
      </c>
      <c r="H125" s="76">
        <f t="shared" si="32"/>
        <v>0</v>
      </c>
      <c r="I125" s="76">
        <f t="shared" si="32"/>
        <v>0</v>
      </c>
      <c r="J125" s="76">
        <f t="shared" si="32"/>
        <v>0</v>
      </c>
      <c r="K125" s="102">
        <f>K126</f>
        <v>0</v>
      </c>
      <c r="L125" s="76">
        <f t="shared" si="22"/>
        <v>2200</v>
      </c>
    </row>
    <row r="126" spans="1:12" ht="31.5" customHeight="1">
      <c r="A126" s="56" t="s">
        <v>190</v>
      </c>
      <c r="B126" s="63" t="s">
        <v>8</v>
      </c>
      <c r="C126" s="102">
        <f>2200</f>
        <v>2200</v>
      </c>
      <c r="D126" s="76"/>
      <c r="E126" s="76"/>
      <c r="F126" s="76"/>
      <c r="G126" s="76"/>
      <c r="H126" s="76"/>
      <c r="I126" s="76"/>
      <c r="J126" s="76"/>
      <c r="K126" s="102">
        <f>D126+E126+F126+G126+H126+I126+J126</f>
        <v>0</v>
      </c>
      <c r="L126" s="76">
        <f t="shared" si="22"/>
        <v>2200</v>
      </c>
    </row>
    <row r="127" spans="1:12" s="27" customFormat="1" ht="60" customHeight="1">
      <c r="A127" s="56" t="s">
        <v>191</v>
      </c>
      <c r="B127" s="93" t="s">
        <v>192</v>
      </c>
      <c r="C127" s="102">
        <f>C128+C131</f>
        <v>2365.1</v>
      </c>
      <c r="D127" s="84">
        <f aca="true" t="shared" si="33" ref="D127:K127">D128+D131</f>
        <v>0</v>
      </c>
      <c r="E127" s="84">
        <f t="shared" si="33"/>
        <v>0</v>
      </c>
      <c r="F127" s="84">
        <f t="shared" si="33"/>
        <v>0</v>
      </c>
      <c r="G127" s="84">
        <f t="shared" si="33"/>
        <v>0</v>
      </c>
      <c r="H127" s="84">
        <f t="shared" si="33"/>
        <v>0</v>
      </c>
      <c r="I127" s="84">
        <f t="shared" si="33"/>
        <v>0</v>
      </c>
      <c r="J127" s="84">
        <f t="shared" si="33"/>
        <v>0</v>
      </c>
      <c r="K127" s="102">
        <f t="shared" si="33"/>
        <v>0</v>
      </c>
      <c r="L127" s="84">
        <f>L128+L131</f>
        <v>2365.1</v>
      </c>
    </row>
    <row r="128" spans="1:12" ht="38.25" customHeight="1">
      <c r="A128" s="56" t="s">
        <v>193</v>
      </c>
      <c r="B128" s="63" t="s">
        <v>286</v>
      </c>
      <c r="C128" s="102">
        <f>C129+C130</f>
        <v>2365.1</v>
      </c>
      <c r="D128" s="76"/>
      <c r="E128" s="76"/>
      <c r="F128" s="76"/>
      <c r="G128" s="76"/>
      <c r="H128" s="76"/>
      <c r="I128" s="76"/>
      <c r="J128" s="76"/>
      <c r="K128" s="102">
        <f>D128+E128+F128+G128+H128+I128+J128</f>
        <v>0</v>
      </c>
      <c r="L128" s="76">
        <f>C128+K128</f>
        <v>2365.1</v>
      </c>
    </row>
    <row r="129" spans="1:12" ht="69" customHeight="1">
      <c r="A129" s="56"/>
      <c r="B129" s="86" t="s">
        <v>195</v>
      </c>
      <c r="C129" s="102">
        <f>0</f>
        <v>0</v>
      </c>
      <c r="D129" s="76"/>
      <c r="E129" s="76"/>
      <c r="F129" s="76"/>
      <c r="G129" s="76"/>
      <c r="H129" s="76"/>
      <c r="I129" s="76"/>
      <c r="J129" s="76"/>
      <c r="K129" s="102">
        <f>D129+E129+F129+G129+H129+I129+J129</f>
        <v>0</v>
      </c>
      <c r="L129" s="76">
        <f>C129+K129</f>
        <v>0</v>
      </c>
    </row>
    <row r="130" spans="1:12" ht="73.5" customHeight="1">
      <c r="A130" s="56"/>
      <c r="B130" s="86" t="s">
        <v>196</v>
      </c>
      <c r="C130" s="102">
        <f>2365.1</f>
        <v>2365.1</v>
      </c>
      <c r="D130" s="76"/>
      <c r="E130" s="76"/>
      <c r="F130" s="76"/>
      <c r="G130" s="76"/>
      <c r="H130" s="76"/>
      <c r="I130" s="76"/>
      <c r="J130" s="76"/>
      <c r="K130" s="102">
        <f>D130+E130+F130+G130+H130+I130+J130</f>
        <v>0</v>
      </c>
      <c r="L130" s="76">
        <f>C130+K130</f>
        <v>2365.1</v>
      </c>
    </row>
    <row r="131" spans="1:12" ht="28.5" customHeight="1">
      <c r="A131" s="56" t="s">
        <v>197</v>
      </c>
      <c r="B131" s="63" t="s">
        <v>7</v>
      </c>
      <c r="C131" s="102">
        <f>0</f>
        <v>0</v>
      </c>
      <c r="D131" s="76"/>
      <c r="E131" s="76"/>
      <c r="F131" s="76"/>
      <c r="G131" s="76"/>
      <c r="H131" s="76"/>
      <c r="I131" s="76"/>
      <c r="J131" s="76"/>
      <c r="K131" s="102">
        <f>D131+E131+F131+G131+H131+I131+J131</f>
        <v>0</v>
      </c>
      <c r="L131" s="76">
        <f>C131+K131</f>
        <v>0</v>
      </c>
    </row>
    <row r="132" spans="1:12" s="1" customFormat="1" ht="32.25" customHeight="1">
      <c r="A132" s="7"/>
      <c r="B132" s="13" t="s">
        <v>198</v>
      </c>
      <c r="C132" s="107">
        <f aca="true" t="shared" si="34" ref="C132:J132">C7+C29+C31+C37+C48+C63+C65+C88+C99+C107+C115+C123+C125+C127</f>
        <v>634417.1</v>
      </c>
      <c r="D132" s="108">
        <f t="shared" si="34"/>
        <v>70038.2</v>
      </c>
      <c r="E132" s="108">
        <f t="shared" si="34"/>
        <v>4502.4</v>
      </c>
      <c r="F132" s="108">
        <f t="shared" si="34"/>
        <v>4230.3</v>
      </c>
      <c r="G132" s="108">
        <f t="shared" si="34"/>
        <v>3290.5</v>
      </c>
      <c r="H132" s="108">
        <f t="shared" si="34"/>
        <v>4913.5</v>
      </c>
      <c r="I132" s="108">
        <f t="shared" si="34"/>
        <v>3219.1000000000004</v>
      </c>
      <c r="J132" s="108">
        <f t="shared" si="34"/>
        <v>3803.6000000000004</v>
      </c>
      <c r="K132" s="107">
        <f>K7+K29+K31+K37+K48+K63+K65+K88+K99+K107+K115+K123+K125+K127</f>
        <v>93997.6</v>
      </c>
      <c r="L132" s="107">
        <f>L7+L29+L31+L37+L48+L63+L65+L88+L99+L107+L115+L123+L125+L127+K133+C133-L127</f>
        <v>728414.7</v>
      </c>
    </row>
    <row r="133" spans="1:18" ht="45" customHeight="1">
      <c r="A133" s="56"/>
      <c r="B133" s="63" t="s">
        <v>287</v>
      </c>
      <c r="C133" s="102">
        <f>C29+C127</f>
        <v>2365.1</v>
      </c>
      <c r="D133" s="105">
        <f aca="true" t="shared" si="35" ref="D133:J133">D15+D28+D43+D55</f>
        <v>0</v>
      </c>
      <c r="E133" s="105">
        <f t="shared" si="35"/>
        <v>1528.6</v>
      </c>
      <c r="F133" s="105">
        <f t="shared" si="35"/>
        <v>1231.2</v>
      </c>
      <c r="G133" s="105">
        <f t="shared" si="35"/>
        <v>822</v>
      </c>
      <c r="H133" s="105">
        <f t="shared" si="35"/>
        <v>1336</v>
      </c>
      <c r="I133" s="105">
        <f t="shared" si="35"/>
        <v>524</v>
      </c>
      <c r="J133" s="105">
        <f t="shared" si="35"/>
        <v>927</v>
      </c>
      <c r="K133" s="105">
        <f>K15+K28+K43+K55</f>
        <v>6368.8</v>
      </c>
      <c r="L133" s="105">
        <f>C133+K133</f>
        <v>8733.9</v>
      </c>
      <c r="R133" s="69"/>
    </row>
    <row r="134" spans="1:18" s="1" customFormat="1" ht="54.75" customHeight="1">
      <c r="A134" s="56"/>
      <c r="B134" s="13" t="s">
        <v>200</v>
      </c>
      <c r="C134" s="107">
        <f>C132-C133</f>
        <v>632052</v>
      </c>
      <c r="D134" s="108">
        <f aca="true" t="shared" si="36" ref="D134:J134">D132-D133</f>
        <v>70038.2</v>
      </c>
      <c r="E134" s="108">
        <f t="shared" si="36"/>
        <v>2973.7999999999997</v>
      </c>
      <c r="F134" s="108">
        <f t="shared" si="36"/>
        <v>2999.1000000000004</v>
      </c>
      <c r="G134" s="108">
        <f t="shared" si="36"/>
        <v>2468.5</v>
      </c>
      <c r="H134" s="108">
        <f t="shared" si="36"/>
        <v>3577.5</v>
      </c>
      <c r="I134" s="108">
        <f t="shared" si="36"/>
        <v>2695.1000000000004</v>
      </c>
      <c r="J134" s="108">
        <f t="shared" si="36"/>
        <v>2876.6000000000004</v>
      </c>
      <c r="K134" s="107">
        <f>K132-K133</f>
        <v>87628.8</v>
      </c>
      <c r="L134" s="108">
        <f t="shared" si="22"/>
        <v>719680.8</v>
      </c>
      <c r="R134" s="20"/>
    </row>
    <row r="135" spans="1:12" s="1" customFormat="1" ht="43.5" customHeight="1">
      <c r="A135" s="56"/>
      <c r="B135" s="75" t="s">
        <v>201</v>
      </c>
      <c r="C135" s="102">
        <f>642417.1-C132</f>
        <v>8000</v>
      </c>
      <c r="D135" s="76">
        <v>0</v>
      </c>
      <c r="E135" s="76">
        <v>0</v>
      </c>
      <c r="F135" s="76">
        <v>0</v>
      </c>
      <c r="G135" s="76">
        <v>0</v>
      </c>
      <c r="H135" s="76">
        <v>0</v>
      </c>
      <c r="I135" s="76">
        <v>0</v>
      </c>
      <c r="J135" s="76">
        <v>0</v>
      </c>
      <c r="K135" s="102">
        <v>0</v>
      </c>
      <c r="L135" s="76">
        <v>8000</v>
      </c>
    </row>
    <row r="136" spans="1:18" s="1" customFormat="1" ht="62.25" customHeight="1">
      <c r="A136" s="56"/>
      <c r="B136" s="75" t="s">
        <v>202</v>
      </c>
      <c r="C136" s="102">
        <f>C137+C138+C139+C140+C141</f>
        <v>-8000</v>
      </c>
      <c r="D136" s="76"/>
      <c r="E136" s="76"/>
      <c r="F136" s="76"/>
      <c r="G136" s="76"/>
      <c r="H136" s="76"/>
      <c r="I136" s="76"/>
      <c r="J136" s="76"/>
      <c r="K136" s="102">
        <f>K137+K138</f>
        <v>0</v>
      </c>
      <c r="L136" s="76">
        <f t="shared" si="22"/>
        <v>-8000</v>
      </c>
      <c r="R136" s="20"/>
    </row>
    <row r="137" spans="1:12" s="1" customFormat="1" ht="51" customHeight="1">
      <c r="A137" s="4"/>
      <c r="B137" s="75" t="s">
        <v>203</v>
      </c>
      <c r="C137" s="102">
        <f>0</f>
        <v>0</v>
      </c>
      <c r="D137" s="76"/>
      <c r="E137" s="76"/>
      <c r="F137" s="76"/>
      <c r="G137" s="76"/>
      <c r="H137" s="76"/>
      <c r="I137" s="76"/>
      <c r="J137" s="76"/>
      <c r="K137" s="102">
        <f>0</f>
        <v>0</v>
      </c>
      <c r="L137" s="76">
        <f t="shared" si="22"/>
        <v>0</v>
      </c>
    </row>
    <row r="138" spans="1:12" s="1" customFormat="1" ht="94.5" customHeight="1">
      <c r="A138" s="56"/>
      <c r="B138" s="109" t="s">
        <v>204</v>
      </c>
      <c r="C138" s="102">
        <v>-8000</v>
      </c>
      <c r="D138" s="76"/>
      <c r="E138" s="76"/>
      <c r="F138" s="76"/>
      <c r="G138" s="76"/>
      <c r="H138" s="76"/>
      <c r="I138" s="76"/>
      <c r="J138" s="76"/>
      <c r="K138" s="102">
        <f>0</f>
        <v>0</v>
      </c>
      <c r="L138" s="76">
        <f t="shared" si="22"/>
        <v>-8000</v>
      </c>
    </row>
    <row r="139" spans="1:12" s="1" customFormat="1" ht="126.75" customHeight="1">
      <c r="A139" s="56"/>
      <c r="B139" s="16" t="s">
        <v>12</v>
      </c>
      <c r="C139" s="102">
        <v>0</v>
      </c>
      <c r="D139" s="76"/>
      <c r="E139" s="76"/>
      <c r="F139" s="76"/>
      <c r="G139" s="76"/>
      <c r="H139" s="76"/>
      <c r="I139" s="76"/>
      <c r="J139" s="76"/>
      <c r="K139" s="102">
        <f>0</f>
        <v>0</v>
      </c>
      <c r="L139" s="76">
        <f t="shared" si="22"/>
        <v>0</v>
      </c>
    </row>
    <row r="140" spans="1:12" s="1" customFormat="1" ht="112.5" customHeight="1">
      <c r="A140" s="56"/>
      <c r="B140" s="16" t="s">
        <v>5</v>
      </c>
      <c r="C140" s="102">
        <f>0</f>
        <v>0</v>
      </c>
      <c r="D140" s="76"/>
      <c r="E140" s="76"/>
      <c r="F140" s="76"/>
      <c r="G140" s="76"/>
      <c r="H140" s="76"/>
      <c r="I140" s="76"/>
      <c r="J140" s="76"/>
      <c r="K140" s="102">
        <f>0</f>
        <v>0</v>
      </c>
      <c r="L140" s="76">
        <f>0</f>
        <v>0</v>
      </c>
    </row>
    <row r="141" spans="1:12" s="1" customFormat="1" ht="33">
      <c r="A141" s="56"/>
      <c r="B141" s="6" t="s">
        <v>206</v>
      </c>
      <c r="C141" s="102">
        <v>0</v>
      </c>
      <c r="D141" s="76"/>
      <c r="E141" s="76"/>
      <c r="F141" s="76"/>
      <c r="G141" s="76"/>
      <c r="H141" s="76"/>
      <c r="I141" s="76"/>
      <c r="J141" s="76"/>
      <c r="K141" s="102">
        <v>0</v>
      </c>
      <c r="L141" s="76">
        <f t="shared" si="22"/>
        <v>0</v>
      </c>
    </row>
    <row r="142" spans="1:12" ht="16.5">
      <c r="A142" s="54"/>
      <c r="B142" s="99"/>
      <c r="C142" s="100"/>
      <c r="D142" s="100"/>
      <c r="E142" s="100"/>
      <c r="F142" s="100"/>
      <c r="G142" s="100"/>
      <c r="H142" s="100"/>
      <c r="I142" s="100"/>
      <c r="J142" s="100"/>
      <c r="K142" s="77"/>
      <c r="L142" s="73"/>
    </row>
    <row r="143" spans="1:12" ht="16.5">
      <c r="A143" s="4"/>
      <c r="B143" s="63"/>
      <c r="C143" s="96"/>
      <c r="D143" s="96"/>
      <c r="E143" s="96"/>
      <c r="F143" s="96"/>
      <c r="G143" s="96"/>
      <c r="H143" s="96"/>
      <c r="I143" s="96"/>
      <c r="J143" s="96"/>
      <c r="K143" s="77"/>
      <c r="L143" s="73"/>
    </row>
    <row r="144" spans="3:10" ht="16.5">
      <c r="C144" s="101"/>
      <c r="D144" s="101"/>
      <c r="E144" s="101"/>
      <c r="F144" s="101"/>
      <c r="G144" s="101"/>
      <c r="H144" s="101"/>
      <c r="I144" s="101"/>
      <c r="J144" s="101"/>
    </row>
    <row r="145" spans="3:10" ht="16.5">
      <c r="C145" s="101"/>
      <c r="D145" s="101"/>
      <c r="E145" s="101"/>
      <c r="F145" s="101"/>
      <c r="G145" s="101"/>
      <c r="H145" s="101"/>
      <c r="I145" s="101"/>
      <c r="J145" s="101"/>
    </row>
    <row r="146" spans="3:10" ht="16.5">
      <c r="C146" s="101"/>
      <c r="D146" s="101"/>
      <c r="E146" s="101"/>
      <c r="F146" s="101"/>
      <c r="G146" s="101"/>
      <c r="H146" s="101"/>
      <c r="I146" s="101"/>
      <c r="J146" s="101"/>
    </row>
    <row r="147" spans="3:10" ht="16.5">
      <c r="C147" s="101"/>
      <c r="D147" s="101"/>
      <c r="E147" s="101"/>
      <c r="F147" s="101"/>
      <c r="G147" s="101"/>
      <c r="H147" s="101"/>
      <c r="I147" s="101"/>
      <c r="J147" s="101"/>
    </row>
    <row r="148" spans="3:10" ht="16.5">
      <c r="C148" s="101"/>
      <c r="D148" s="101"/>
      <c r="E148" s="101"/>
      <c r="F148" s="101"/>
      <c r="G148" s="101"/>
      <c r="H148" s="101"/>
      <c r="I148" s="101"/>
      <c r="J148" s="101"/>
    </row>
    <row r="149" spans="3:10" ht="16.5">
      <c r="C149" s="101"/>
      <c r="D149" s="101"/>
      <c r="E149" s="101"/>
      <c r="F149" s="101"/>
      <c r="G149" s="101"/>
      <c r="H149" s="101"/>
      <c r="I149" s="101"/>
      <c r="J149" s="101"/>
    </row>
    <row r="150" spans="3:10" ht="16.5">
      <c r="C150" s="101"/>
      <c r="D150" s="101"/>
      <c r="E150" s="101"/>
      <c r="F150" s="101"/>
      <c r="G150" s="101"/>
      <c r="H150" s="101"/>
      <c r="I150" s="101"/>
      <c r="J150" s="101"/>
    </row>
    <row r="151" spans="3:10" ht="16.5">
      <c r="C151" s="101"/>
      <c r="D151" s="101"/>
      <c r="E151" s="101"/>
      <c r="F151" s="101"/>
      <c r="G151" s="101"/>
      <c r="H151" s="101"/>
      <c r="I151" s="101"/>
      <c r="J151" s="101"/>
    </row>
    <row r="152" spans="3:10" ht="16.5">
      <c r="C152" s="101"/>
      <c r="D152" s="101"/>
      <c r="E152" s="101"/>
      <c r="F152" s="101"/>
      <c r="G152" s="101"/>
      <c r="H152" s="101"/>
      <c r="I152" s="101"/>
      <c r="J152" s="101"/>
    </row>
    <row r="153" spans="3:10" ht="16.5">
      <c r="C153" s="101"/>
      <c r="D153" s="101"/>
      <c r="E153" s="101"/>
      <c r="F153" s="101"/>
      <c r="G153" s="101"/>
      <c r="H153" s="101"/>
      <c r="I153" s="101"/>
      <c r="J153" s="101"/>
    </row>
    <row r="154" spans="3:10" ht="16.5">
      <c r="C154" s="101"/>
      <c r="D154" s="101"/>
      <c r="E154" s="101"/>
      <c r="F154" s="101"/>
      <c r="G154" s="101"/>
      <c r="H154" s="101"/>
      <c r="I154" s="101"/>
      <c r="J154" s="101"/>
    </row>
    <row r="155" spans="3:10" ht="16.5">
      <c r="C155" s="101"/>
      <c r="D155" s="101"/>
      <c r="E155" s="101"/>
      <c r="F155" s="101"/>
      <c r="G155" s="101"/>
      <c r="H155" s="101"/>
      <c r="I155" s="101"/>
      <c r="J155" s="101"/>
    </row>
    <row r="156" spans="3:10" ht="16.5">
      <c r="C156" s="101"/>
      <c r="D156" s="101"/>
      <c r="E156" s="101"/>
      <c r="F156" s="101"/>
      <c r="G156" s="101"/>
      <c r="H156" s="101"/>
      <c r="I156" s="101"/>
      <c r="J156" s="101"/>
    </row>
    <row r="157" spans="3:10" ht="16.5">
      <c r="C157" s="101"/>
      <c r="D157" s="101"/>
      <c r="E157" s="101"/>
      <c r="F157" s="101"/>
      <c r="G157" s="101"/>
      <c r="H157" s="101"/>
      <c r="I157" s="101"/>
      <c r="J157" s="101"/>
    </row>
    <row r="158" spans="3:10" ht="16.5">
      <c r="C158" s="101"/>
      <c r="D158" s="101"/>
      <c r="E158" s="101"/>
      <c r="F158" s="101"/>
      <c r="G158" s="101"/>
      <c r="H158" s="101"/>
      <c r="I158" s="101"/>
      <c r="J158" s="101"/>
    </row>
    <row r="159" spans="3:10" ht="16.5">
      <c r="C159" s="101"/>
      <c r="D159" s="101"/>
      <c r="E159" s="101"/>
      <c r="F159" s="101"/>
      <c r="G159" s="101"/>
      <c r="H159" s="101"/>
      <c r="I159" s="101"/>
      <c r="J159" s="101"/>
    </row>
    <row r="160" spans="3:10" ht="16.5">
      <c r="C160" s="101"/>
      <c r="D160" s="101"/>
      <c r="E160" s="101"/>
      <c r="F160" s="101"/>
      <c r="G160" s="101"/>
      <c r="H160" s="101"/>
      <c r="I160" s="101"/>
      <c r="J160" s="101"/>
    </row>
    <row r="161" spans="3:10" ht="16.5">
      <c r="C161" s="101"/>
      <c r="D161" s="101"/>
      <c r="E161" s="101"/>
      <c r="F161" s="101"/>
      <c r="G161" s="101"/>
      <c r="H161" s="101"/>
      <c r="I161" s="101"/>
      <c r="J161" s="101"/>
    </row>
    <row r="162" spans="3:10" ht="16.5">
      <c r="C162" s="101"/>
      <c r="D162" s="101"/>
      <c r="E162" s="101"/>
      <c r="F162" s="101"/>
      <c r="G162" s="101"/>
      <c r="H162" s="101"/>
      <c r="I162" s="101"/>
      <c r="J162" s="101"/>
    </row>
    <row r="163" spans="3:10" ht="16.5">
      <c r="C163" s="101"/>
      <c r="D163" s="101"/>
      <c r="E163" s="101"/>
      <c r="F163" s="101"/>
      <c r="G163" s="101"/>
      <c r="H163" s="101"/>
      <c r="I163" s="101"/>
      <c r="J163" s="101"/>
    </row>
    <row r="164" spans="3:10" ht="16.5">
      <c r="C164" s="101"/>
      <c r="D164" s="101"/>
      <c r="E164" s="101"/>
      <c r="F164" s="101"/>
      <c r="G164" s="101"/>
      <c r="H164" s="101"/>
      <c r="I164" s="101"/>
      <c r="J164" s="101"/>
    </row>
    <row r="165" spans="3:10" ht="16.5">
      <c r="C165" s="101"/>
      <c r="D165" s="101"/>
      <c r="E165" s="101"/>
      <c r="F165" s="101"/>
      <c r="G165" s="101"/>
      <c r="H165" s="101"/>
      <c r="I165" s="101"/>
      <c r="J165" s="101"/>
    </row>
    <row r="166" spans="3:10" ht="16.5">
      <c r="C166" s="101"/>
      <c r="D166" s="101"/>
      <c r="E166" s="101"/>
      <c r="F166" s="101"/>
      <c r="G166" s="101"/>
      <c r="H166" s="101"/>
      <c r="I166" s="101"/>
      <c r="J166" s="101"/>
    </row>
    <row r="167" spans="3:10" ht="16.5">
      <c r="C167" s="101"/>
      <c r="D167" s="101"/>
      <c r="E167" s="101"/>
      <c r="F167" s="101"/>
      <c r="G167" s="101"/>
      <c r="H167" s="101"/>
      <c r="I167" s="101"/>
      <c r="J167" s="101"/>
    </row>
    <row r="168" spans="3:10" ht="16.5">
      <c r="C168" s="101"/>
      <c r="D168" s="101"/>
      <c r="E168" s="101"/>
      <c r="F168" s="101"/>
      <c r="G168" s="101"/>
      <c r="H168" s="101"/>
      <c r="I168" s="101"/>
      <c r="J168" s="101"/>
    </row>
    <row r="169" spans="3:10" ht="16.5">
      <c r="C169" s="101"/>
      <c r="D169" s="101"/>
      <c r="E169" s="101"/>
      <c r="F169" s="101"/>
      <c r="G169" s="101"/>
      <c r="H169" s="101"/>
      <c r="I169" s="101"/>
      <c r="J169" s="101"/>
    </row>
    <row r="170" spans="3:10" ht="16.5">
      <c r="C170" s="101"/>
      <c r="D170" s="101"/>
      <c r="E170" s="101"/>
      <c r="F170" s="101"/>
      <c r="G170" s="101"/>
      <c r="H170" s="101"/>
      <c r="I170" s="101"/>
      <c r="J170" s="101"/>
    </row>
    <row r="171" spans="3:10" ht="16.5">
      <c r="C171" s="101"/>
      <c r="D171" s="101"/>
      <c r="E171" s="101"/>
      <c r="F171" s="101"/>
      <c r="G171" s="101"/>
      <c r="H171" s="101"/>
      <c r="I171" s="101"/>
      <c r="J171" s="101"/>
    </row>
    <row r="172" spans="3:10" ht="16.5">
      <c r="C172" s="101"/>
      <c r="D172" s="101"/>
      <c r="E172" s="101"/>
      <c r="F172" s="101"/>
      <c r="G172" s="101"/>
      <c r="H172" s="101"/>
      <c r="I172" s="101"/>
      <c r="J172" s="101"/>
    </row>
    <row r="173" spans="3:10" ht="16.5">
      <c r="C173" s="101"/>
      <c r="D173" s="101"/>
      <c r="E173" s="101"/>
      <c r="F173" s="101"/>
      <c r="G173" s="101"/>
      <c r="H173" s="101"/>
      <c r="I173" s="101"/>
      <c r="J173" s="101"/>
    </row>
    <row r="174" spans="3:10" ht="16.5">
      <c r="C174" s="101"/>
      <c r="D174" s="101"/>
      <c r="E174" s="101"/>
      <c r="F174" s="101"/>
      <c r="G174" s="101"/>
      <c r="H174" s="101"/>
      <c r="I174" s="101"/>
      <c r="J174" s="101"/>
    </row>
    <row r="175" spans="3:10" ht="16.5">
      <c r="C175" s="101"/>
      <c r="D175" s="101"/>
      <c r="E175" s="101"/>
      <c r="F175" s="101"/>
      <c r="G175" s="101"/>
      <c r="H175" s="101"/>
      <c r="I175" s="101"/>
      <c r="J175" s="101"/>
    </row>
    <row r="176" spans="3:10" ht="16.5">
      <c r="C176" s="101"/>
      <c r="D176" s="101"/>
      <c r="E176" s="101"/>
      <c r="F176" s="101"/>
      <c r="G176" s="101"/>
      <c r="H176" s="101"/>
      <c r="I176" s="101"/>
      <c r="J176" s="101"/>
    </row>
    <row r="177" spans="3:10" ht="16.5">
      <c r="C177" s="101"/>
      <c r="D177" s="101"/>
      <c r="E177" s="101"/>
      <c r="F177" s="101"/>
      <c r="G177" s="101"/>
      <c r="H177" s="101"/>
      <c r="I177" s="101"/>
      <c r="J177" s="101"/>
    </row>
    <row r="178" spans="3:10" ht="16.5">
      <c r="C178" s="101"/>
      <c r="D178" s="101"/>
      <c r="E178" s="101"/>
      <c r="F178" s="101"/>
      <c r="G178" s="101"/>
      <c r="H178" s="101"/>
      <c r="I178" s="101"/>
      <c r="J178" s="101"/>
    </row>
    <row r="179" spans="3:10" ht="16.5">
      <c r="C179" s="101"/>
      <c r="D179" s="101"/>
      <c r="E179" s="101"/>
      <c r="F179" s="101"/>
      <c r="G179" s="101"/>
      <c r="H179" s="101"/>
      <c r="I179" s="101"/>
      <c r="J179" s="101"/>
    </row>
    <row r="180" spans="3:10" ht="16.5">
      <c r="C180" s="101"/>
      <c r="D180" s="101"/>
      <c r="E180" s="101"/>
      <c r="F180" s="101"/>
      <c r="G180" s="101"/>
      <c r="H180" s="101"/>
      <c r="I180" s="101"/>
      <c r="J180" s="101"/>
    </row>
    <row r="181" spans="3:10" ht="16.5">
      <c r="C181" s="101"/>
      <c r="D181" s="101"/>
      <c r="E181" s="101"/>
      <c r="F181" s="101"/>
      <c r="G181" s="101"/>
      <c r="H181" s="101"/>
      <c r="I181" s="101"/>
      <c r="J181" s="101"/>
    </row>
    <row r="182" spans="3:10" ht="16.5">
      <c r="C182" s="101"/>
      <c r="D182" s="101"/>
      <c r="E182" s="101"/>
      <c r="F182" s="101"/>
      <c r="G182" s="101"/>
      <c r="H182" s="101"/>
      <c r="I182" s="101"/>
      <c r="J182" s="101"/>
    </row>
    <row r="183" spans="3:10" ht="16.5">
      <c r="C183" s="101"/>
      <c r="D183" s="101"/>
      <c r="E183" s="101"/>
      <c r="F183" s="101"/>
      <c r="G183" s="101"/>
      <c r="H183" s="101"/>
      <c r="I183" s="101"/>
      <c r="J183" s="101"/>
    </row>
    <row r="184" spans="3:10" ht="16.5">
      <c r="C184" s="101"/>
      <c r="D184" s="101"/>
      <c r="E184" s="101"/>
      <c r="F184" s="101"/>
      <c r="G184" s="101"/>
      <c r="H184" s="101"/>
      <c r="I184" s="101"/>
      <c r="J184" s="101"/>
    </row>
    <row r="185" spans="3:10" ht="16.5">
      <c r="C185" s="101"/>
      <c r="D185" s="101"/>
      <c r="E185" s="101"/>
      <c r="F185" s="101"/>
      <c r="G185" s="101"/>
      <c r="H185" s="101"/>
      <c r="I185" s="101"/>
      <c r="J185" s="101"/>
    </row>
    <row r="186" spans="3:10" ht="16.5">
      <c r="C186" s="101"/>
      <c r="D186" s="101"/>
      <c r="E186" s="101"/>
      <c r="F186" s="101"/>
      <c r="G186" s="101"/>
      <c r="H186" s="101"/>
      <c r="I186" s="101"/>
      <c r="J186" s="101"/>
    </row>
    <row r="187" spans="3:10" ht="16.5">
      <c r="C187" s="101"/>
      <c r="D187" s="101"/>
      <c r="E187" s="101"/>
      <c r="F187" s="101"/>
      <c r="G187" s="101"/>
      <c r="H187" s="101"/>
      <c r="I187" s="101"/>
      <c r="J187" s="101"/>
    </row>
    <row r="188" spans="3:10" ht="16.5">
      <c r="C188" s="101"/>
      <c r="D188" s="101"/>
      <c r="E188" s="101"/>
      <c r="F188" s="101"/>
      <c r="G188" s="101"/>
      <c r="H188" s="101"/>
      <c r="I188" s="101"/>
      <c r="J188" s="101"/>
    </row>
    <row r="189" spans="3:10" ht="16.5">
      <c r="C189" s="101"/>
      <c r="D189" s="101"/>
      <c r="E189" s="101"/>
      <c r="F189" s="101"/>
      <c r="G189" s="101"/>
      <c r="H189" s="101"/>
      <c r="I189" s="101"/>
      <c r="J189" s="101"/>
    </row>
    <row r="190" spans="3:10" ht="16.5">
      <c r="C190" s="101"/>
      <c r="D190" s="101"/>
      <c r="E190" s="101"/>
      <c r="F190" s="101"/>
      <c r="G190" s="101"/>
      <c r="H190" s="101"/>
      <c r="I190" s="101"/>
      <c r="J190" s="101"/>
    </row>
    <row r="191" spans="3:10" ht="16.5">
      <c r="C191" s="101"/>
      <c r="D191" s="101"/>
      <c r="E191" s="101"/>
      <c r="F191" s="101"/>
      <c r="G191" s="101"/>
      <c r="H191" s="101"/>
      <c r="I191" s="101"/>
      <c r="J191" s="101"/>
    </row>
    <row r="192" spans="3:10" ht="16.5">
      <c r="C192" s="101"/>
      <c r="D192" s="101"/>
      <c r="E192" s="101"/>
      <c r="F192" s="101"/>
      <c r="G192" s="101"/>
      <c r="H192" s="101"/>
      <c r="I192" s="101"/>
      <c r="J192" s="101"/>
    </row>
    <row r="193" spans="3:10" ht="16.5">
      <c r="C193" s="101"/>
      <c r="D193" s="101"/>
      <c r="E193" s="101"/>
      <c r="F193" s="101"/>
      <c r="G193" s="101"/>
      <c r="H193" s="101"/>
      <c r="I193" s="101"/>
      <c r="J193" s="101"/>
    </row>
    <row r="194" spans="3:10" ht="16.5">
      <c r="C194" s="101"/>
      <c r="D194" s="101"/>
      <c r="E194" s="101"/>
      <c r="F194" s="101"/>
      <c r="G194" s="101"/>
      <c r="H194" s="101"/>
      <c r="I194" s="101"/>
      <c r="J194" s="101"/>
    </row>
    <row r="195" spans="3:10" ht="16.5">
      <c r="C195" s="101"/>
      <c r="D195" s="101"/>
      <c r="E195" s="101"/>
      <c r="F195" s="101"/>
      <c r="G195" s="101"/>
      <c r="H195" s="101"/>
      <c r="I195" s="101"/>
      <c r="J195" s="101"/>
    </row>
    <row r="196" spans="3:10" ht="16.5">
      <c r="C196" s="101"/>
      <c r="D196" s="101"/>
      <c r="E196" s="101"/>
      <c r="F196" s="101"/>
      <c r="G196" s="101"/>
      <c r="H196" s="101"/>
      <c r="I196" s="101"/>
      <c r="J196" s="101"/>
    </row>
    <row r="197" spans="3:10" ht="16.5">
      <c r="C197" s="101"/>
      <c r="D197" s="101"/>
      <c r="E197" s="101"/>
      <c r="F197" s="101"/>
      <c r="G197" s="101"/>
      <c r="H197" s="101"/>
      <c r="I197" s="101"/>
      <c r="J197" s="101"/>
    </row>
    <row r="198" spans="3:10" ht="16.5">
      <c r="C198" s="101"/>
      <c r="D198" s="101"/>
      <c r="E198" s="101"/>
      <c r="F198" s="101"/>
      <c r="G198" s="101"/>
      <c r="H198" s="101"/>
      <c r="I198" s="101"/>
      <c r="J198" s="101"/>
    </row>
    <row r="199" spans="3:10" ht="16.5">
      <c r="C199" s="101"/>
      <c r="D199" s="101"/>
      <c r="E199" s="101"/>
      <c r="F199" s="101"/>
      <c r="G199" s="101"/>
      <c r="H199" s="101"/>
      <c r="I199" s="101"/>
      <c r="J199" s="101"/>
    </row>
    <row r="200" spans="3:10" ht="16.5">
      <c r="C200" s="101"/>
      <c r="D200" s="101"/>
      <c r="E200" s="101"/>
      <c r="F200" s="101"/>
      <c r="G200" s="101"/>
      <c r="H200" s="101"/>
      <c r="I200" s="101"/>
      <c r="J200" s="101"/>
    </row>
    <row r="201" spans="3:10" ht="16.5">
      <c r="C201" s="101"/>
      <c r="D201" s="101"/>
      <c r="E201" s="101"/>
      <c r="F201" s="101"/>
      <c r="G201" s="101"/>
      <c r="H201" s="101"/>
      <c r="I201" s="101"/>
      <c r="J201" s="101"/>
    </row>
    <row r="202" spans="3:10" ht="16.5">
      <c r="C202" s="101"/>
      <c r="D202" s="101"/>
      <c r="E202" s="101"/>
      <c r="F202" s="101"/>
      <c r="G202" s="101"/>
      <c r="H202" s="101"/>
      <c r="I202" s="101"/>
      <c r="J202" s="101"/>
    </row>
    <row r="203" spans="3:10" ht="16.5">
      <c r="C203" s="101"/>
      <c r="D203" s="101"/>
      <c r="E203" s="101"/>
      <c r="F203" s="101"/>
      <c r="G203" s="101"/>
      <c r="H203" s="101"/>
      <c r="I203" s="101"/>
      <c r="J203" s="101"/>
    </row>
    <row r="204" spans="3:10" ht="16.5">
      <c r="C204" s="101"/>
      <c r="D204" s="101"/>
      <c r="E204" s="101"/>
      <c r="F204" s="101"/>
      <c r="G204" s="101"/>
      <c r="H204" s="101"/>
      <c r="I204" s="101"/>
      <c r="J204" s="101"/>
    </row>
    <row r="205" spans="3:10" ht="16.5">
      <c r="C205" s="101"/>
      <c r="D205" s="101"/>
      <c r="E205" s="101"/>
      <c r="F205" s="101"/>
      <c r="G205" s="101"/>
      <c r="H205" s="101"/>
      <c r="I205" s="101"/>
      <c r="J205" s="101"/>
    </row>
    <row r="206" spans="3:10" ht="16.5">
      <c r="C206" s="101"/>
      <c r="D206" s="101"/>
      <c r="E206" s="101"/>
      <c r="F206" s="101"/>
      <c r="G206" s="101"/>
      <c r="H206" s="101"/>
      <c r="I206" s="101"/>
      <c r="J206" s="101"/>
    </row>
    <row r="207" spans="3:10" ht="16.5">
      <c r="C207" s="101"/>
      <c r="D207" s="101"/>
      <c r="E207" s="101"/>
      <c r="F207" s="101"/>
      <c r="G207" s="101"/>
      <c r="H207" s="101"/>
      <c r="I207" s="101"/>
      <c r="J207" s="101"/>
    </row>
    <row r="208" spans="3:10" ht="16.5">
      <c r="C208" s="101"/>
      <c r="D208" s="101"/>
      <c r="E208" s="101"/>
      <c r="F208" s="101"/>
      <c r="G208" s="101"/>
      <c r="H208" s="101"/>
      <c r="I208" s="101"/>
      <c r="J208" s="101"/>
    </row>
    <row r="209" spans="3:10" ht="16.5">
      <c r="C209" s="101"/>
      <c r="D209" s="101"/>
      <c r="E209" s="101"/>
      <c r="F209" s="101"/>
      <c r="G209" s="101"/>
      <c r="H209" s="101"/>
      <c r="I209" s="101"/>
      <c r="J209" s="101"/>
    </row>
    <row r="210" spans="3:10" ht="16.5">
      <c r="C210" s="101"/>
      <c r="D210" s="101"/>
      <c r="E210" s="101"/>
      <c r="F210" s="101"/>
      <c r="G210" s="101"/>
      <c r="H210" s="101"/>
      <c r="I210" s="101"/>
      <c r="J210" s="101"/>
    </row>
    <row r="211" spans="3:10" ht="16.5">
      <c r="C211" s="101"/>
      <c r="D211" s="101"/>
      <c r="E211" s="101"/>
      <c r="F211" s="101"/>
      <c r="G211" s="101"/>
      <c r="H211" s="101"/>
      <c r="I211" s="101"/>
      <c r="J211" s="101"/>
    </row>
    <row r="212" spans="3:10" ht="16.5">
      <c r="C212" s="101"/>
      <c r="D212" s="101"/>
      <c r="E212" s="101"/>
      <c r="F212" s="101"/>
      <c r="G212" s="101"/>
      <c r="H212" s="101"/>
      <c r="I212" s="101"/>
      <c r="J212" s="101"/>
    </row>
    <row r="213" spans="3:10" ht="16.5">
      <c r="C213" s="101"/>
      <c r="D213" s="101"/>
      <c r="E213" s="101"/>
      <c r="F213" s="101"/>
      <c r="G213" s="101"/>
      <c r="H213" s="101"/>
      <c r="I213" s="101"/>
      <c r="J213" s="101"/>
    </row>
    <row r="214" spans="3:10" ht="16.5">
      <c r="C214" s="101"/>
      <c r="D214" s="101"/>
      <c r="E214" s="101"/>
      <c r="F214" s="101"/>
      <c r="G214" s="101"/>
      <c r="H214" s="101"/>
      <c r="I214" s="101"/>
      <c r="J214" s="101"/>
    </row>
    <row r="215" spans="3:10" ht="16.5">
      <c r="C215" s="101"/>
      <c r="D215" s="101"/>
      <c r="E215" s="101"/>
      <c r="F215" s="101"/>
      <c r="G215" s="101"/>
      <c r="H215" s="101"/>
      <c r="I215" s="101"/>
      <c r="J215" s="101"/>
    </row>
    <row r="216" spans="3:10" ht="16.5">
      <c r="C216" s="101"/>
      <c r="D216" s="101"/>
      <c r="E216" s="101"/>
      <c r="F216" s="101"/>
      <c r="G216" s="101"/>
      <c r="H216" s="101"/>
      <c r="I216" s="101"/>
      <c r="J216" s="101"/>
    </row>
    <row r="217" spans="3:10" ht="16.5">
      <c r="C217" s="101"/>
      <c r="D217" s="101"/>
      <c r="E217" s="101"/>
      <c r="F217" s="101"/>
      <c r="G217" s="101"/>
      <c r="H217" s="101"/>
      <c r="I217" s="101"/>
      <c r="J217" s="101"/>
    </row>
    <row r="218" spans="3:10" ht="16.5">
      <c r="C218" s="101"/>
      <c r="D218" s="101"/>
      <c r="E218" s="101"/>
      <c r="F218" s="101"/>
      <c r="G218" s="101"/>
      <c r="H218" s="101"/>
      <c r="I218" s="101"/>
      <c r="J218" s="101"/>
    </row>
    <row r="219" spans="3:10" ht="16.5">
      <c r="C219" s="101"/>
      <c r="D219" s="101"/>
      <c r="E219" s="101"/>
      <c r="F219" s="101"/>
      <c r="G219" s="101"/>
      <c r="H219" s="101"/>
      <c r="I219" s="101"/>
      <c r="J219" s="101"/>
    </row>
    <row r="220" spans="3:10" ht="16.5">
      <c r="C220" s="101"/>
      <c r="D220" s="101"/>
      <c r="E220" s="101"/>
      <c r="F220" s="101"/>
      <c r="G220" s="101"/>
      <c r="H220" s="101"/>
      <c r="I220" s="101"/>
      <c r="J220" s="101"/>
    </row>
    <row r="221" spans="3:10" ht="16.5">
      <c r="C221" s="101"/>
      <c r="D221" s="101"/>
      <c r="E221" s="101"/>
      <c r="F221" s="101"/>
      <c r="G221" s="101"/>
      <c r="H221" s="101"/>
      <c r="I221" s="101"/>
      <c r="J221" s="101"/>
    </row>
    <row r="222" spans="3:10" ht="16.5">
      <c r="C222" s="101"/>
      <c r="D222" s="101"/>
      <c r="E222" s="101"/>
      <c r="F222" s="101"/>
      <c r="G222" s="101"/>
      <c r="H222" s="101"/>
      <c r="I222" s="101"/>
      <c r="J222" s="101"/>
    </row>
    <row r="223" spans="3:10" ht="16.5">
      <c r="C223" s="101"/>
      <c r="D223" s="101"/>
      <c r="E223" s="101"/>
      <c r="F223" s="101"/>
      <c r="G223" s="101"/>
      <c r="H223" s="101"/>
      <c r="I223" s="101"/>
      <c r="J223" s="101"/>
    </row>
    <row r="224" spans="3:10" ht="16.5">
      <c r="C224" s="101"/>
      <c r="D224" s="101"/>
      <c r="E224" s="101"/>
      <c r="F224" s="101"/>
      <c r="G224" s="101"/>
      <c r="H224" s="101"/>
      <c r="I224" s="101"/>
      <c r="J224" s="101"/>
    </row>
    <row r="225" spans="3:10" ht="16.5">
      <c r="C225" s="101"/>
      <c r="D225" s="101"/>
      <c r="E225" s="101"/>
      <c r="F225" s="101"/>
      <c r="G225" s="101"/>
      <c r="H225" s="101"/>
      <c r="I225" s="101"/>
      <c r="J225" s="101"/>
    </row>
    <row r="226" spans="3:10" ht="16.5">
      <c r="C226" s="101"/>
      <c r="D226" s="101"/>
      <c r="E226" s="101"/>
      <c r="F226" s="101"/>
      <c r="G226" s="101"/>
      <c r="H226" s="101"/>
      <c r="I226" s="101"/>
      <c r="J226" s="101"/>
    </row>
    <row r="227" spans="3:10" ht="16.5">
      <c r="C227" s="101"/>
      <c r="D227" s="101"/>
      <c r="E227" s="101"/>
      <c r="F227" s="101"/>
      <c r="G227" s="101"/>
      <c r="H227" s="101"/>
      <c r="I227" s="101"/>
      <c r="J227" s="101"/>
    </row>
    <row r="228" spans="3:10" ht="16.5">
      <c r="C228" s="101"/>
      <c r="D228" s="101"/>
      <c r="E228" s="101"/>
      <c r="F228" s="101"/>
      <c r="G228" s="101"/>
      <c r="H228" s="101"/>
      <c r="I228" s="101"/>
      <c r="J228" s="101"/>
    </row>
    <row r="229" spans="3:10" ht="16.5">
      <c r="C229" s="101"/>
      <c r="D229" s="101"/>
      <c r="E229" s="101"/>
      <c r="F229" s="101"/>
      <c r="G229" s="101"/>
      <c r="H229" s="101"/>
      <c r="I229" s="101"/>
      <c r="J229" s="101"/>
    </row>
    <row r="230" spans="3:10" ht="16.5">
      <c r="C230" s="101"/>
      <c r="D230" s="101"/>
      <c r="E230" s="101"/>
      <c r="F230" s="101"/>
      <c r="G230" s="101"/>
      <c r="H230" s="101"/>
      <c r="I230" s="101"/>
      <c r="J230" s="101"/>
    </row>
    <row r="231" spans="3:10" ht="16.5">
      <c r="C231" s="101"/>
      <c r="D231" s="101"/>
      <c r="E231" s="101"/>
      <c r="F231" s="101"/>
      <c r="G231" s="101"/>
      <c r="H231" s="101"/>
      <c r="I231" s="101"/>
      <c r="J231" s="101"/>
    </row>
    <row r="232" spans="3:10" ht="16.5">
      <c r="C232" s="101"/>
      <c r="D232" s="101"/>
      <c r="E232" s="101"/>
      <c r="F232" s="101"/>
      <c r="G232" s="101"/>
      <c r="H232" s="101"/>
      <c r="I232" s="101"/>
      <c r="J232" s="101"/>
    </row>
    <row r="233" spans="3:10" ht="16.5">
      <c r="C233" s="101"/>
      <c r="D233" s="101"/>
      <c r="E233" s="101"/>
      <c r="F233" s="101"/>
      <c r="G233" s="101"/>
      <c r="H233" s="101"/>
      <c r="I233" s="101"/>
      <c r="J233" s="101"/>
    </row>
    <row r="234" spans="3:10" ht="16.5">
      <c r="C234" s="101"/>
      <c r="D234" s="101"/>
      <c r="E234" s="101"/>
      <c r="F234" s="101"/>
      <c r="G234" s="101"/>
      <c r="H234" s="101"/>
      <c r="I234" s="101"/>
      <c r="J234" s="101"/>
    </row>
    <row r="235" spans="3:10" ht="16.5">
      <c r="C235" s="101"/>
      <c r="D235" s="101"/>
      <c r="E235" s="101"/>
      <c r="F235" s="101"/>
      <c r="G235" s="101"/>
      <c r="H235" s="101"/>
      <c r="I235" s="101"/>
      <c r="J235" s="101"/>
    </row>
    <row r="236" spans="3:10" ht="16.5">
      <c r="C236" s="101"/>
      <c r="D236" s="101"/>
      <c r="E236" s="101"/>
      <c r="F236" s="101"/>
      <c r="G236" s="101"/>
      <c r="H236" s="101"/>
      <c r="I236" s="101"/>
      <c r="J236" s="101"/>
    </row>
    <row r="237" spans="3:10" ht="16.5">
      <c r="C237" s="101"/>
      <c r="D237" s="101"/>
      <c r="E237" s="101"/>
      <c r="F237" s="101"/>
      <c r="G237" s="101"/>
      <c r="H237" s="101"/>
      <c r="I237" s="101"/>
      <c r="J237" s="101"/>
    </row>
    <row r="238" spans="3:10" ht="16.5">
      <c r="C238" s="101"/>
      <c r="D238" s="101"/>
      <c r="E238" s="101"/>
      <c r="F238" s="101"/>
      <c r="G238" s="101"/>
      <c r="H238" s="101"/>
      <c r="I238" s="101"/>
      <c r="J238" s="101"/>
    </row>
    <row r="239" spans="3:10" ht="16.5">
      <c r="C239" s="101"/>
      <c r="D239" s="101"/>
      <c r="E239" s="101"/>
      <c r="F239" s="101"/>
      <c r="G239" s="101"/>
      <c r="H239" s="101"/>
      <c r="I239" s="101"/>
      <c r="J239" s="101"/>
    </row>
    <row r="240" spans="3:10" ht="16.5">
      <c r="C240" s="101"/>
      <c r="D240" s="101"/>
      <c r="E240" s="101"/>
      <c r="F240" s="101"/>
      <c r="G240" s="101"/>
      <c r="H240" s="101"/>
      <c r="I240" s="101"/>
      <c r="J240" s="101"/>
    </row>
    <row r="241" spans="3:10" ht="16.5">
      <c r="C241" s="101"/>
      <c r="D241" s="101"/>
      <c r="E241" s="101"/>
      <c r="F241" s="101"/>
      <c r="G241" s="101"/>
      <c r="H241" s="101"/>
      <c r="I241" s="101"/>
      <c r="J241" s="101"/>
    </row>
    <row r="242" spans="3:10" ht="16.5">
      <c r="C242" s="101"/>
      <c r="D242" s="101"/>
      <c r="E242" s="101"/>
      <c r="F242" s="101"/>
      <c r="G242" s="101"/>
      <c r="H242" s="101"/>
      <c r="I242" s="101"/>
      <c r="J242" s="101"/>
    </row>
    <row r="243" spans="3:10" ht="16.5">
      <c r="C243" s="101"/>
      <c r="D243" s="101"/>
      <c r="E243" s="101"/>
      <c r="F243" s="101"/>
      <c r="G243" s="101"/>
      <c r="H243" s="101"/>
      <c r="I243" s="101"/>
      <c r="J243" s="101"/>
    </row>
    <row r="244" spans="3:10" ht="16.5">
      <c r="C244" s="101"/>
      <c r="D244" s="101"/>
      <c r="E244" s="101"/>
      <c r="F244" s="101"/>
      <c r="G244" s="101"/>
      <c r="H244" s="101"/>
      <c r="I244" s="101"/>
      <c r="J244" s="101"/>
    </row>
    <row r="245" spans="3:10" ht="16.5">
      <c r="C245" s="101"/>
      <c r="D245" s="101"/>
      <c r="E245" s="101"/>
      <c r="F245" s="101"/>
      <c r="G245" s="101"/>
      <c r="H245" s="101"/>
      <c r="I245" s="101"/>
      <c r="J245" s="101"/>
    </row>
    <row r="246" spans="3:10" ht="16.5">
      <c r="C246" s="101"/>
      <c r="D246" s="101"/>
      <c r="E246" s="101"/>
      <c r="F246" s="101"/>
      <c r="G246" s="101"/>
      <c r="H246" s="101"/>
      <c r="I246" s="101"/>
      <c r="J246" s="101"/>
    </row>
    <row r="247" spans="3:10" ht="16.5">
      <c r="C247" s="101"/>
      <c r="D247" s="101"/>
      <c r="E247" s="101"/>
      <c r="F247" s="101"/>
      <c r="G247" s="101"/>
      <c r="H247" s="101"/>
      <c r="I247" s="101"/>
      <c r="J247" s="101"/>
    </row>
    <row r="248" spans="3:10" ht="16.5">
      <c r="C248" s="101"/>
      <c r="D248" s="101"/>
      <c r="E248" s="101"/>
      <c r="F248" s="101"/>
      <c r="G248" s="101"/>
      <c r="H248" s="101"/>
      <c r="I248" s="101"/>
      <c r="J248" s="101"/>
    </row>
    <row r="249" spans="3:10" ht="16.5">
      <c r="C249" s="101"/>
      <c r="D249" s="101"/>
      <c r="E249" s="101"/>
      <c r="F249" s="101"/>
      <c r="G249" s="101"/>
      <c r="H249" s="101"/>
      <c r="I249" s="101"/>
      <c r="J249" s="101"/>
    </row>
    <row r="250" spans="3:10" ht="16.5">
      <c r="C250" s="101"/>
      <c r="D250" s="101"/>
      <c r="E250" s="101"/>
      <c r="F250" s="101"/>
      <c r="G250" s="101"/>
      <c r="H250" s="101"/>
      <c r="I250" s="101"/>
      <c r="J250" s="101"/>
    </row>
    <row r="251" spans="3:10" ht="16.5">
      <c r="C251" s="101"/>
      <c r="D251" s="101"/>
      <c r="E251" s="101"/>
      <c r="F251" s="101"/>
      <c r="G251" s="101"/>
      <c r="H251" s="101"/>
      <c r="I251" s="101"/>
      <c r="J251" s="101"/>
    </row>
    <row r="252" spans="3:10" ht="16.5">
      <c r="C252" s="101"/>
      <c r="D252" s="101"/>
      <c r="E252" s="101"/>
      <c r="F252" s="101"/>
      <c r="G252" s="101"/>
      <c r="H252" s="101"/>
      <c r="I252" s="101"/>
      <c r="J252" s="101"/>
    </row>
    <row r="253" spans="3:10" ht="16.5">
      <c r="C253" s="101"/>
      <c r="D253" s="101"/>
      <c r="E253" s="101"/>
      <c r="F253" s="101"/>
      <c r="G253" s="101"/>
      <c r="H253" s="101"/>
      <c r="I253" s="101"/>
      <c r="J253" s="101"/>
    </row>
    <row r="254" spans="3:10" ht="16.5">
      <c r="C254" s="101"/>
      <c r="D254" s="101"/>
      <c r="E254" s="101"/>
      <c r="F254" s="101"/>
      <c r="G254" s="101"/>
      <c r="H254" s="101"/>
      <c r="I254" s="101"/>
      <c r="J254" s="101"/>
    </row>
    <row r="255" spans="3:10" ht="16.5">
      <c r="C255" s="101"/>
      <c r="D255" s="101"/>
      <c r="E255" s="101"/>
      <c r="F255" s="101"/>
      <c r="G255" s="101"/>
      <c r="H255" s="101"/>
      <c r="I255" s="101"/>
      <c r="J255" s="101"/>
    </row>
    <row r="256" spans="3:10" ht="16.5">
      <c r="C256" s="101"/>
      <c r="D256" s="101"/>
      <c r="E256" s="101"/>
      <c r="F256" s="101"/>
      <c r="G256" s="101"/>
      <c r="H256" s="101"/>
      <c r="I256" s="101"/>
      <c r="J256" s="101"/>
    </row>
    <row r="257" spans="3:10" ht="16.5">
      <c r="C257" s="101"/>
      <c r="D257" s="101"/>
      <c r="E257" s="101"/>
      <c r="F257" s="101"/>
      <c r="G257" s="101"/>
      <c r="H257" s="101"/>
      <c r="I257" s="101"/>
      <c r="J257" s="101"/>
    </row>
    <row r="258" spans="3:10" ht="16.5">
      <c r="C258" s="101"/>
      <c r="D258" s="101"/>
      <c r="E258" s="101"/>
      <c r="F258" s="101"/>
      <c r="G258" s="101"/>
      <c r="H258" s="101"/>
      <c r="I258" s="101"/>
      <c r="J258" s="101"/>
    </row>
    <row r="259" spans="3:10" ht="16.5">
      <c r="C259" s="101"/>
      <c r="D259" s="101"/>
      <c r="E259" s="101"/>
      <c r="F259" s="101"/>
      <c r="G259" s="101"/>
      <c r="H259" s="101"/>
      <c r="I259" s="101"/>
      <c r="J259" s="101"/>
    </row>
    <row r="260" spans="3:10" ht="16.5">
      <c r="C260" s="101"/>
      <c r="D260" s="101"/>
      <c r="E260" s="101"/>
      <c r="F260" s="101"/>
      <c r="G260" s="101"/>
      <c r="H260" s="101"/>
      <c r="I260" s="101"/>
      <c r="J260" s="101"/>
    </row>
    <row r="261" spans="3:10" ht="16.5">
      <c r="C261" s="101"/>
      <c r="D261" s="101"/>
      <c r="E261" s="101"/>
      <c r="F261" s="101"/>
      <c r="G261" s="101"/>
      <c r="H261" s="101"/>
      <c r="I261" s="101"/>
      <c r="J261" s="101"/>
    </row>
    <row r="262" spans="3:10" ht="16.5">
      <c r="C262" s="101"/>
      <c r="D262" s="101"/>
      <c r="E262" s="101"/>
      <c r="F262" s="101"/>
      <c r="G262" s="101"/>
      <c r="H262" s="101"/>
      <c r="I262" s="101"/>
      <c r="J262" s="101"/>
    </row>
    <row r="263" spans="3:10" ht="16.5">
      <c r="C263" s="101"/>
      <c r="D263" s="101"/>
      <c r="E263" s="101"/>
      <c r="F263" s="101"/>
      <c r="G263" s="101"/>
      <c r="H263" s="101"/>
      <c r="I263" s="101"/>
      <c r="J263" s="101"/>
    </row>
    <row r="264" spans="3:10" ht="16.5">
      <c r="C264" s="101"/>
      <c r="D264" s="101"/>
      <c r="E264" s="101"/>
      <c r="F264" s="101"/>
      <c r="G264" s="101"/>
      <c r="H264" s="101"/>
      <c r="I264" s="101"/>
      <c r="J264" s="101"/>
    </row>
    <row r="265" spans="3:10" ht="16.5">
      <c r="C265" s="101"/>
      <c r="D265" s="101"/>
      <c r="E265" s="101"/>
      <c r="F265" s="101"/>
      <c r="G265" s="101"/>
      <c r="H265" s="101"/>
      <c r="I265" s="101"/>
      <c r="J265" s="101"/>
    </row>
    <row r="266" spans="3:10" ht="16.5">
      <c r="C266" s="101"/>
      <c r="D266" s="101"/>
      <c r="E266" s="101"/>
      <c r="F266" s="101"/>
      <c r="G266" s="101"/>
      <c r="H266" s="101"/>
      <c r="I266" s="101"/>
      <c r="J266" s="101"/>
    </row>
    <row r="267" spans="3:10" ht="16.5">
      <c r="C267" s="101"/>
      <c r="D267" s="101"/>
      <c r="E267" s="101"/>
      <c r="F267" s="101"/>
      <c r="G267" s="101"/>
      <c r="H267" s="101"/>
      <c r="I267" s="101"/>
      <c r="J267" s="101"/>
    </row>
    <row r="268" spans="3:10" ht="16.5">
      <c r="C268" s="101"/>
      <c r="D268" s="101"/>
      <c r="E268" s="101"/>
      <c r="F268" s="101"/>
      <c r="G268" s="101"/>
      <c r="H268" s="101"/>
      <c r="I268" s="101"/>
      <c r="J268" s="101"/>
    </row>
    <row r="269" spans="3:10" ht="16.5">
      <c r="C269" s="101"/>
      <c r="D269" s="101"/>
      <c r="E269" s="101"/>
      <c r="F269" s="101"/>
      <c r="G269" s="101"/>
      <c r="H269" s="101"/>
      <c r="I269" s="101"/>
      <c r="J269" s="101"/>
    </row>
    <row r="270" spans="3:10" ht="16.5">
      <c r="C270" s="101"/>
      <c r="D270" s="101"/>
      <c r="E270" s="101"/>
      <c r="F270" s="101"/>
      <c r="G270" s="101"/>
      <c r="H270" s="101"/>
      <c r="I270" s="101"/>
      <c r="J270" s="101"/>
    </row>
    <row r="271" spans="3:10" ht="16.5">
      <c r="C271" s="101"/>
      <c r="D271" s="101"/>
      <c r="E271" s="101"/>
      <c r="F271" s="101"/>
      <c r="G271" s="101"/>
      <c r="H271" s="101"/>
      <c r="I271" s="101"/>
      <c r="J271" s="101"/>
    </row>
    <row r="272" spans="3:10" ht="16.5">
      <c r="C272" s="101"/>
      <c r="D272" s="101"/>
      <c r="E272" s="101"/>
      <c r="F272" s="101"/>
      <c r="G272" s="101"/>
      <c r="H272" s="101"/>
      <c r="I272" s="101"/>
      <c r="J272" s="101"/>
    </row>
    <row r="273" spans="3:10" ht="16.5">
      <c r="C273" s="101"/>
      <c r="D273" s="101"/>
      <c r="E273" s="101"/>
      <c r="F273" s="101"/>
      <c r="G273" s="101"/>
      <c r="H273" s="101"/>
      <c r="I273" s="101"/>
      <c r="J273" s="101"/>
    </row>
    <row r="274" spans="3:10" ht="16.5">
      <c r="C274" s="101"/>
      <c r="D274" s="101"/>
      <c r="E274" s="101"/>
      <c r="F274" s="101"/>
      <c r="G274" s="101"/>
      <c r="H274" s="101"/>
      <c r="I274" s="101"/>
      <c r="J274" s="101"/>
    </row>
    <row r="275" spans="3:10" ht="16.5">
      <c r="C275" s="101"/>
      <c r="D275" s="101"/>
      <c r="E275" s="101"/>
      <c r="F275" s="101"/>
      <c r="G275" s="101"/>
      <c r="H275" s="101"/>
      <c r="I275" s="101"/>
      <c r="J275" s="101"/>
    </row>
    <row r="276" spans="3:10" ht="16.5">
      <c r="C276" s="101"/>
      <c r="D276" s="101"/>
      <c r="E276" s="101"/>
      <c r="F276" s="101"/>
      <c r="G276" s="101"/>
      <c r="H276" s="101"/>
      <c r="I276" s="101"/>
      <c r="J276" s="101"/>
    </row>
    <row r="277" spans="3:10" ht="16.5">
      <c r="C277" s="101"/>
      <c r="D277" s="101"/>
      <c r="E277" s="101"/>
      <c r="F277" s="101"/>
      <c r="G277" s="101"/>
      <c r="H277" s="101"/>
      <c r="I277" s="101"/>
      <c r="J277" s="101"/>
    </row>
    <row r="278" spans="3:10" ht="16.5">
      <c r="C278" s="101"/>
      <c r="D278" s="101"/>
      <c r="E278" s="101"/>
      <c r="F278" s="101"/>
      <c r="G278" s="101"/>
      <c r="H278" s="101"/>
      <c r="I278" s="101"/>
      <c r="J278" s="101"/>
    </row>
    <row r="279" spans="3:10" ht="16.5">
      <c r="C279" s="101"/>
      <c r="D279" s="101"/>
      <c r="E279" s="101"/>
      <c r="F279" s="101"/>
      <c r="G279" s="101"/>
      <c r="H279" s="101"/>
      <c r="I279" s="101"/>
      <c r="J279" s="101"/>
    </row>
    <row r="280" spans="3:10" ht="16.5">
      <c r="C280" s="101"/>
      <c r="D280" s="101"/>
      <c r="E280" s="101"/>
      <c r="F280" s="101"/>
      <c r="G280" s="101"/>
      <c r="H280" s="101"/>
      <c r="I280" s="101"/>
      <c r="J280" s="101"/>
    </row>
    <row r="281" spans="3:10" ht="16.5">
      <c r="C281" s="101"/>
      <c r="D281" s="101"/>
      <c r="E281" s="101"/>
      <c r="F281" s="101"/>
      <c r="G281" s="101"/>
      <c r="H281" s="101"/>
      <c r="I281" s="101"/>
      <c r="J281" s="101"/>
    </row>
    <row r="282" spans="3:10" ht="16.5">
      <c r="C282" s="101"/>
      <c r="D282" s="101"/>
      <c r="E282" s="101"/>
      <c r="F282" s="101"/>
      <c r="G282" s="101"/>
      <c r="H282" s="101"/>
      <c r="I282" s="101"/>
      <c r="J282" s="101"/>
    </row>
    <row r="283" spans="3:10" ht="16.5">
      <c r="C283" s="101"/>
      <c r="D283" s="101"/>
      <c r="E283" s="101"/>
      <c r="F283" s="101"/>
      <c r="G283" s="101"/>
      <c r="H283" s="101"/>
      <c r="I283" s="101"/>
      <c r="J283" s="101"/>
    </row>
    <row r="284" spans="3:10" ht="16.5">
      <c r="C284" s="101"/>
      <c r="D284" s="101"/>
      <c r="E284" s="101"/>
      <c r="F284" s="101"/>
      <c r="G284" s="101"/>
      <c r="H284" s="101"/>
      <c r="I284" s="101"/>
      <c r="J284" s="101"/>
    </row>
    <row r="285" spans="3:10" ht="16.5">
      <c r="C285" s="101"/>
      <c r="D285" s="101"/>
      <c r="E285" s="101"/>
      <c r="F285" s="101"/>
      <c r="G285" s="101"/>
      <c r="H285" s="101"/>
      <c r="I285" s="101"/>
      <c r="J285" s="101"/>
    </row>
    <row r="286" spans="3:10" ht="16.5">
      <c r="C286" s="101"/>
      <c r="D286" s="101"/>
      <c r="E286" s="101"/>
      <c r="F286" s="101"/>
      <c r="G286" s="101"/>
      <c r="H286" s="101"/>
      <c r="I286" s="101"/>
      <c r="J286" s="101"/>
    </row>
    <row r="287" spans="3:10" ht="16.5">
      <c r="C287" s="101"/>
      <c r="D287" s="101"/>
      <c r="E287" s="101"/>
      <c r="F287" s="101"/>
      <c r="G287" s="101"/>
      <c r="H287" s="101"/>
      <c r="I287" s="101"/>
      <c r="J287" s="101"/>
    </row>
    <row r="288" spans="3:10" ht="16.5">
      <c r="C288" s="101"/>
      <c r="D288" s="101"/>
      <c r="E288" s="101"/>
      <c r="F288" s="101"/>
      <c r="G288" s="101"/>
      <c r="H288" s="101"/>
      <c r="I288" s="101"/>
      <c r="J288" s="101"/>
    </row>
    <row r="289" spans="3:10" ht="16.5">
      <c r="C289" s="101"/>
      <c r="D289" s="101"/>
      <c r="E289" s="101"/>
      <c r="F289" s="101"/>
      <c r="G289" s="101"/>
      <c r="H289" s="101"/>
      <c r="I289" s="101"/>
      <c r="J289" s="101"/>
    </row>
    <row r="290" spans="3:10" ht="16.5">
      <c r="C290" s="101"/>
      <c r="D290" s="101"/>
      <c r="E290" s="101"/>
      <c r="F290" s="101"/>
      <c r="G290" s="101"/>
      <c r="H290" s="101"/>
      <c r="I290" s="101"/>
      <c r="J290" s="101"/>
    </row>
    <row r="291" spans="3:10" ht="16.5">
      <c r="C291" s="101"/>
      <c r="D291" s="101"/>
      <c r="E291" s="101"/>
      <c r="F291" s="101"/>
      <c r="G291" s="101"/>
      <c r="H291" s="101"/>
      <c r="I291" s="101"/>
      <c r="J291" s="101"/>
    </row>
    <row r="292" spans="3:10" ht="16.5">
      <c r="C292" s="101"/>
      <c r="D292" s="101"/>
      <c r="E292" s="101"/>
      <c r="F292" s="101"/>
      <c r="G292" s="101"/>
      <c r="H292" s="101"/>
      <c r="I292" s="101"/>
      <c r="J292" s="101"/>
    </row>
    <row r="293" spans="3:10" ht="16.5">
      <c r="C293" s="101"/>
      <c r="D293" s="101"/>
      <c r="E293" s="101"/>
      <c r="F293" s="101"/>
      <c r="G293" s="101"/>
      <c r="H293" s="101"/>
      <c r="I293" s="101"/>
      <c r="J293" s="101"/>
    </row>
    <row r="294" spans="3:10" ht="16.5">
      <c r="C294" s="101"/>
      <c r="D294" s="101"/>
      <c r="E294" s="101"/>
      <c r="F294" s="101"/>
      <c r="G294" s="101"/>
      <c r="H294" s="101"/>
      <c r="I294" s="101"/>
      <c r="J294" s="101"/>
    </row>
    <row r="295" spans="3:10" ht="16.5">
      <c r="C295" s="101"/>
      <c r="D295" s="101"/>
      <c r="E295" s="101"/>
      <c r="F295" s="101"/>
      <c r="G295" s="101"/>
      <c r="H295" s="101"/>
      <c r="I295" s="101"/>
      <c r="J295" s="101"/>
    </row>
    <row r="296" spans="3:10" ht="16.5">
      <c r="C296" s="101"/>
      <c r="D296" s="101"/>
      <c r="E296" s="101"/>
      <c r="F296" s="101"/>
      <c r="G296" s="101"/>
      <c r="H296" s="101"/>
      <c r="I296" s="101"/>
      <c r="J296" s="101"/>
    </row>
    <row r="297" spans="3:10" ht="16.5">
      <c r="C297" s="101"/>
      <c r="D297" s="101"/>
      <c r="E297" s="101"/>
      <c r="F297" s="101"/>
      <c r="G297" s="101"/>
      <c r="H297" s="101"/>
      <c r="I297" s="101"/>
      <c r="J297" s="101"/>
    </row>
    <row r="298" spans="3:10" ht="16.5">
      <c r="C298" s="101"/>
      <c r="D298" s="101"/>
      <c r="E298" s="101"/>
      <c r="F298" s="101"/>
      <c r="G298" s="101"/>
      <c r="H298" s="101"/>
      <c r="I298" s="101"/>
      <c r="J298" s="101"/>
    </row>
    <row r="299" spans="3:10" ht="16.5">
      <c r="C299" s="101"/>
      <c r="D299" s="101"/>
      <c r="E299" s="101"/>
      <c r="F299" s="101"/>
      <c r="G299" s="101"/>
      <c r="H299" s="101"/>
      <c r="I299" s="101"/>
      <c r="J299" s="101"/>
    </row>
    <row r="300" spans="3:10" ht="16.5">
      <c r="C300" s="101"/>
      <c r="D300" s="101"/>
      <c r="E300" s="101"/>
      <c r="F300" s="101"/>
      <c r="G300" s="101"/>
      <c r="H300" s="101"/>
      <c r="I300" s="101"/>
      <c r="J300" s="101"/>
    </row>
    <row r="301" spans="3:10" ht="16.5">
      <c r="C301" s="101"/>
      <c r="D301" s="101"/>
      <c r="E301" s="101"/>
      <c r="F301" s="101"/>
      <c r="G301" s="101"/>
      <c r="H301" s="101"/>
      <c r="I301" s="101"/>
      <c r="J301" s="101"/>
    </row>
    <row r="302" spans="3:10" ht="16.5">
      <c r="C302" s="101"/>
      <c r="D302" s="101"/>
      <c r="E302" s="101"/>
      <c r="F302" s="101"/>
      <c r="G302" s="101"/>
      <c r="H302" s="101"/>
      <c r="I302" s="101"/>
      <c r="J302" s="101"/>
    </row>
    <row r="303" spans="3:10" ht="16.5">
      <c r="C303" s="101"/>
      <c r="D303" s="101"/>
      <c r="E303" s="101"/>
      <c r="F303" s="101"/>
      <c r="G303" s="101"/>
      <c r="H303" s="101"/>
      <c r="I303" s="101"/>
      <c r="J303" s="101"/>
    </row>
    <row r="304" spans="3:10" ht="16.5">
      <c r="C304" s="101"/>
      <c r="D304" s="101"/>
      <c r="E304" s="101"/>
      <c r="F304" s="101"/>
      <c r="G304" s="101"/>
      <c r="H304" s="101"/>
      <c r="I304" s="101"/>
      <c r="J304" s="101"/>
    </row>
    <row r="305" spans="3:10" ht="16.5">
      <c r="C305" s="101"/>
      <c r="D305" s="101"/>
      <c r="E305" s="101"/>
      <c r="F305" s="101"/>
      <c r="G305" s="101"/>
      <c r="H305" s="101"/>
      <c r="I305" s="101"/>
      <c r="J305" s="101"/>
    </row>
    <row r="306" spans="3:10" ht="16.5">
      <c r="C306" s="101"/>
      <c r="D306" s="101"/>
      <c r="E306" s="101"/>
      <c r="F306" s="101"/>
      <c r="G306" s="101"/>
      <c r="H306" s="101"/>
      <c r="I306" s="101"/>
      <c r="J306" s="101"/>
    </row>
    <row r="307" spans="3:10" ht="16.5">
      <c r="C307" s="101"/>
      <c r="D307" s="101"/>
      <c r="E307" s="101"/>
      <c r="F307" s="101"/>
      <c r="G307" s="101"/>
      <c r="H307" s="101"/>
      <c r="I307" s="101"/>
      <c r="J307" s="101"/>
    </row>
    <row r="308" spans="3:10" ht="16.5">
      <c r="C308" s="101"/>
      <c r="D308" s="101"/>
      <c r="E308" s="101"/>
      <c r="F308" s="101"/>
      <c r="G308" s="101"/>
      <c r="H308" s="101"/>
      <c r="I308" s="101"/>
      <c r="J308" s="101"/>
    </row>
    <row r="309" spans="3:10" ht="16.5">
      <c r="C309" s="101"/>
      <c r="D309" s="101"/>
      <c r="E309" s="101"/>
      <c r="F309" s="101"/>
      <c r="G309" s="101"/>
      <c r="H309" s="101"/>
      <c r="I309" s="101"/>
      <c r="J309" s="101"/>
    </row>
    <row r="310" spans="3:10" ht="16.5">
      <c r="C310" s="101"/>
      <c r="D310" s="101"/>
      <c r="E310" s="101"/>
      <c r="F310" s="101"/>
      <c r="G310" s="101"/>
      <c r="H310" s="101"/>
      <c r="I310" s="101"/>
      <c r="J310" s="101"/>
    </row>
    <row r="311" spans="3:10" ht="16.5">
      <c r="C311" s="101"/>
      <c r="D311" s="101"/>
      <c r="E311" s="101"/>
      <c r="F311" s="101"/>
      <c r="G311" s="101"/>
      <c r="H311" s="101"/>
      <c r="I311" s="101"/>
      <c r="J311" s="101"/>
    </row>
    <row r="312" spans="3:10" ht="16.5">
      <c r="C312" s="101"/>
      <c r="D312" s="101"/>
      <c r="E312" s="101"/>
      <c r="F312" s="101"/>
      <c r="G312" s="101"/>
      <c r="H312" s="101"/>
      <c r="I312" s="101"/>
      <c r="J312" s="101"/>
    </row>
    <row r="313" spans="3:10" ht="16.5">
      <c r="C313" s="101"/>
      <c r="D313" s="101"/>
      <c r="E313" s="101"/>
      <c r="F313" s="101"/>
      <c r="G313" s="101"/>
      <c r="H313" s="101"/>
      <c r="I313" s="101"/>
      <c r="J313" s="101"/>
    </row>
    <row r="314" spans="3:10" ht="16.5">
      <c r="C314" s="101"/>
      <c r="D314" s="101"/>
      <c r="E314" s="101"/>
      <c r="F314" s="101"/>
      <c r="G314" s="101"/>
      <c r="H314" s="101"/>
      <c r="I314" s="101"/>
      <c r="J314" s="101"/>
    </row>
    <row r="315" spans="3:10" ht="16.5">
      <c r="C315" s="101"/>
      <c r="D315" s="101"/>
      <c r="E315" s="101"/>
      <c r="F315" s="101"/>
      <c r="G315" s="101"/>
      <c r="H315" s="101"/>
      <c r="I315" s="101"/>
      <c r="J315" s="101"/>
    </row>
    <row r="316" spans="3:10" ht="16.5">
      <c r="C316" s="101"/>
      <c r="D316" s="101"/>
      <c r="E316" s="101"/>
      <c r="F316" s="101"/>
      <c r="G316" s="101"/>
      <c r="H316" s="101"/>
      <c r="I316" s="101"/>
      <c r="J316" s="101"/>
    </row>
    <row r="317" spans="3:10" ht="16.5">
      <c r="C317" s="101"/>
      <c r="D317" s="101"/>
      <c r="E317" s="101"/>
      <c r="F317" s="101"/>
      <c r="G317" s="101"/>
      <c r="H317" s="101"/>
      <c r="I317" s="101"/>
      <c r="J317" s="101"/>
    </row>
    <row r="318" spans="3:10" ht="16.5">
      <c r="C318" s="101"/>
      <c r="D318" s="101"/>
      <c r="E318" s="101"/>
      <c r="F318" s="101"/>
      <c r="G318" s="101"/>
      <c r="H318" s="101"/>
      <c r="I318" s="101"/>
      <c r="J318" s="101"/>
    </row>
    <row r="319" spans="3:10" ht="16.5">
      <c r="C319" s="101"/>
      <c r="D319" s="101"/>
      <c r="E319" s="101"/>
      <c r="F319" s="101"/>
      <c r="G319" s="101"/>
      <c r="H319" s="101"/>
      <c r="I319" s="101"/>
      <c r="J319" s="101"/>
    </row>
    <row r="320" spans="3:10" ht="16.5">
      <c r="C320" s="101"/>
      <c r="D320" s="101"/>
      <c r="E320" s="101"/>
      <c r="F320" s="101"/>
      <c r="G320" s="101"/>
      <c r="H320" s="101"/>
      <c r="I320" s="101"/>
      <c r="J320" s="101"/>
    </row>
    <row r="321" spans="3:10" ht="16.5">
      <c r="C321" s="101"/>
      <c r="D321" s="101"/>
      <c r="E321" s="101"/>
      <c r="F321" s="101"/>
      <c r="G321" s="101"/>
      <c r="H321" s="101"/>
      <c r="I321" s="101"/>
      <c r="J321" s="101"/>
    </row>
    <row r="322" spans="3:10" ht="16.5">
      <c r="C322" s="101"/>
      <c r="D322" s="101"/>
      <c r="E322" s="101"/>
      <c r="F322" s="101"/>
      <c r="G322" s="101"/>
      <c r="H322" s="101"/>
      <c r="I322" s="101"/>
      <c r="J322" s="101"/>
    </row>
    <row r="323" spans="3:10" ht="16.5">
      <c r="C323" s="101"/>
      <c r="D323" s="101"/>
      <c r="E323" s="101"/>
      <c r="F323" s="101"/>
      <c r="G323" s="101"/>
      <c r="H323" s="101"/>
      <c r="I323" s="101"/>
      <c r="J323" s="101"/>
    </row>
    <row r="324" spans="3:10" ht="16.5">
      <c r="C324" s="101"/>
      <c r="D324" s="101"/>
      <c r="E324" s="101"/>
      <c r="F324" s="101"/>
      <c r="G324" s="101"/>
      <c r="H324" s="101"/>
      <c r="I324" s="101"/>
      <c r="J324" s="101"/>
    </row>
    <row r="325" spans="3:10" ht="16.5">
      <c r="C325" s="101"/>
      <c r="D325" s="101"/>
      <c r="E325" s="101"/>
      <c r="F325" s="101"/>
      <c r="G325" s="101"/>
      <c r="H325" s="101"/>
      <c r="I325" s="101"/>
      <c r="J325" s="101"/>
    </row>
    <row r="326" spans="3:10" ht="16.5">
      <c r="C326" s="101"/>
      <c r="D326" s="101"/>
      <c r="E326" s="101"/>
      <c r="F326" s="101"/>
      <c r="G326" s="101"/>
      <c r="H326" s="101"/>
      <c r="I326" s="101"/>
      <c r="J326" s="101"/>
    </row>
    <row r="327" spans="3:10" ht="16.5">
      <c r="C327" s="101"/>
      <c r="D327" s="101"/>
      <c r="E327" s="101"/>
      <c r="F327" s="101"/>
      <c r="G327" s="101"/>
      <c r="H327" s="101"/>
      <c r="I327" s="101"/>
      <c r="J327" s="101"/>
    </row>
    <row r="328" spans="3:10" ht="16.5">
      <c r="C328" s="101"/>
      <c r="D328" s="101"/>
      <c r="E328" s="101"/>
      <c r="F328" s="101"/>
      <c r="G328" s="101"/>
      <c r="H328" s="101"/>
      <c r="I328" s="101"/>
      <c r="J328" s="101"/>
    </row>
    <row r="329" spans="3:10" ht="16.5">
      <c r="C329" s="101"/>
      <c r="D329" s="101"/>
      <c r="E329" s="101"/>
      <c r="F329" s="101"/>
      <c r="G329" s="101"/>
      <c r="H329" s="101"/>
      <c r="I329" s="101"/>
      <c r="J329" s="101"/>
    </row>
    <row r="330" spans="3:10" ht="16.5">
      <c r="C330" s="101"/>
      <c r="D330" s="101"/>
      <c r="E330" s="101"/>
      <c r="F330" s="101"/>
      <c r="G330" s="101"/>
      <c r="H330" s="101"/>
      <c r="I330" s="101"/>
      <c r="J330" s="101"/>
    </row>
    <row r="331" spans="3:10" ht="16.5">
      <c r="C331" s="101"/>
      <c r="D331" s="101"/>
      <c r="E331" s="101"/>
      <c r="F331" s="101"/>
      <c r="G331" s="101"/>
      <c r="H331" s="101"/>
      <c r="I331" s="101"/>
      <c r="J331" s="101"/>
    </row>
    <row r="332" spans="3:10" ht="16.5">
      <c r="C332" s="101"/>
      <c r="D332" s="101"/>
      <c r="E332" s="101"/>
      <c r="F332" s="101"/>
      <c r="G332" s="101"/>
      <c r="H332" s="101"/>
      <c r="I332" s="101"/>
      <c r="J332" s="101"/>
    </row>
    <row r="333" spans="3:10" ht="16.5">
      <c r="C333" s="101"/>
      <c r="D333" s="101"/>
      <c r="E333" s="101"/>
      <c r="F333" s="101"/>
      <c r="G333" s="101"/>
      <c r="H333" s="101"/>
      <c r="I333" s="101"/>
      <c r="J333" s="101"/>
    </row>
    <row r="334" spans="3:10" ht="16.5">
      <c r="C334" s="101"/>
      <c r="D334" s="101"/>
      <c r="E334" s="101"/>
      <c r="F334" s="101"/>
      <c r="G334" s="101"/>
      <c r="H334" s="101"/>
      <c r="I334" s="101"/>
      <c r="J334" s="101"/>
    </row>
    <row r="335" spans="3:10" ht="16.5">
      <c r="C335" s="101"/>
      <c r="D335" s="101"/>
      <c r="E335" s="101"/>
      <c r="F335" s="101"/>
      <c r="G335" s="101"/>
      <c r="H335" s="101"/>
      <c r="I335" s="101"/>
      <c r="J335" s="101"/>
    </row>
    <row r="336" spans="3:10" ht="16.5">
      <c r="C336" s="101"/>
      <c r="D336" s="101"/>
      <c r="E336" s="101"/>
      <c r="F336" s="101"/>
      <c r="G336" s="101"/>
      <c r="H336" s="101"/>
      <c r="I336" s="101"/>
      <c r="J336" s="101"/>
    </row>
    <row r="337" spans="3:10" ht="16.5">
      <c r="C337" s="101"/>
      <c r="D337" s="101"/>
      <c r="E337" s="101"/>
      <c r="F337" s="101"/>
      <c r="G337" s="101"/>
      <c r="H337" s="101"/>
      <c r="I337" s="101"/>
      <c r="J337" s="101"/>
    </row>
    <row r="338" spans="3:10" ht="16.5">
      <c r="C338" s="101"/>
      <c r="D338" s="101"/>
      <c r="E338" s="101"/>
      <c r="F338" s="101"/>
      <c r="G338" s="101"/>
      <c r="H338" s="101"/>
      <c r="I338" s="101"/>
      <c r="J338" s="101"/>
    </row>
    <row r="339" spans="3:10" ht="16.5">
      <c r="C339" s="101"/>
      <c r="D339" s="101"/>
      <c r="E339" s="101"/>
      <c r="F339" s="101"/>
      <c r="G339" s="101"/>
      <c r="H339" s="101"/>
      <c r="I339" s="101"/>
      <c r="J339" s="101"/>
    </row>
    <row r="340" spans="3:10" ht="16.5">
      <c r="C340" s="101"/>
      <c r="D340" s="101"/>
      <c r="E340" s="101"/>
      <c r="F340" s="101"/>
      <c r="G340" s="101"/>
      <c r="H340" s="101"/>
      <c r="I340" s="101"/>
      <c r="J340" s="101"/>
    </row>
    <row r="341" spans="3:10" ht="16.5">
      <c r="C341" s="101"/>
      <c r="D341" s="101"/>
      <c r="E341" s="101"/>
      <c r="F341" s="101"/>
      <c r="G341" s="101"/>
      <c r="H341" s="101"/>
      <c r="I341" s="101"/>
      <c r="J341" s="101"/>
    </row>
    <row r="342" spans="3:10" ht="16.5">
      <c r="C342" s="101"/>
      <c r="D342" s="101"/>
      <c r="E342" s="101"/>
      <c r="F342" s="101"/>
      <c r="G342" s="101"/>
      <c r="H342" s="101"/>
      <c r="I342" s="101"/>
      <c r="J342" s="101"/>
    </row>
    <row r="343" spans="3:10" ht="16.5">
      <c r="C343" s="101"/>
      <c r="D343" s="101"/>
      <c r="E343" s="101"/>
      <c r="F343" s="101"/>
      <c r="G343" s="101"/>
      <c r="H343" s="101"/>
      <c r="I343" s="101"/>
      <c r="J343" s="101"/>
    </row>
    <row r="344" spans="3:10" ht="16.5">
      <c r="C344" s="101"/>
      <c r="D344" s="101"/>
      <c r="E344" s="101"/>
      <c r="F344" s="101"/>
      <c r="G344" s="101"/>
      <c r="H344" s="101"/>
      <c r="I344" s="101"/>
      <c r="J344" s="101"/>
    </row>
    <row r="345" spans="3:10" ht="16.5">
      <c r="C345" s="101"/>
      <c r="D345" s="101"/>
      <c r="E345" s="101"/>
      <c r="F345" s="101"/>
      <c r="G345" s="101"/>
      <c r="H345" s="101"/>
      <c r="I345" s="101"/>
      <c r="J345" s="101"/>
    </row>
    <row r="346" spans="3:10" ht="16.5">
      <c r="C346" s="101"/>
      <c r="D346" s="101"/>
      <c r="E346" s="101"/>
      <c r="F346" s="101"/>
      <c r="G346" s="101"/>
      <c r="H346" s="101"/>
      <c r="I346" s="101"/>
      <c r="J346" s="101"/>
    </row>
    <row r="347" spans="3:10" ht="16.5">
      <c r="C347" s="101"/>
      <c r="D347" s="101"/>
      <c r="E347" s="101"/>
      <c r="F347" s="101"/>
      <c r="G347" s="101"/>
      <c r="H347" s="101"/>
      <c r="I347" s="101"/>
      <c r="J347" s="101"/>
    </row>
    <row r="348" spans="3:10" ht="16.5">
      <c r="C348" s="101"/>
      <c r="D348" s="101"/>
      <c r="E348" s="101"/>
      <c r="F348" s="101"/>
      <c r="G348" s="101"/>
      <c r="H348" s="101"/>
      <c r="I348" s="101"/>
      <c r="J348" s="101"/>
    </row>
    <row r="349" spans="3:10" ht="16.5">
      <c r="C349" s="101"/>
      <c r="D349" s="101"/>
      <c r="E349" s="101"/>
      <c r="F349" s="101"/>
      <c r="G349" s="101"/>
      <c r="H349" s="101"/>
      <c r="I349" s="101"/>
      <c r="J349" s="101"/>
    </row>
    <row r="350" spans="3:10" ht="16.5">
      <c r="C350" s="101"/>
      <c r="D350" s="101"/>
      <c r="E350" s="101"/>
      <c r="F350" s="101"/>
      <c r="G350" s="101"/>
      <c r="H350" s="101"/>
      <c r="I350" s="101"/>
      <c r="J350" s="101"/>
    </row>
    <row r="351" spans="3:10" ht="16.5">
      <c r="C351" s="101"/>
      <c r="D351" s="101"/>
      <c r="E351" s="101"/>
      <c r="F351" s="101"/>
      <c r="G351" s="101"/>
      <c r="H351" s="101"/>
      <c r="I351" s="101"/>
      <c r="J351" s="101"/>
    </row>
    <row r="352" spans="3:10" ht="16.5">
      <c r="C352" s="101"/>
      <c r="D352" s="101"/>
      <c r="E352" s="101"/>
      <c r="F352" s="101"/>
      <c r="G352" s="101"/>
      <c r="H352" s="101"/>
      <c r="I352" s="101"/>
      <c r="J352" s="101"/>
    </row>
    <row r="353" spans="3:10" ht="16.5">
      <c r="C353" s="101"/>
      <c r="D353" s="101"/>
      <c r="E353" s="101"/>
      <c r="F353" s="101"/>
      <c r="G353" s="101"/>
      <c r="H353" s="101"/>
      <c r="I353" s="101"/>
      <c r="J353" s="101"/>
    </row>
    <row r="354" spans="3:10" ht="16.5">
      <c r="C354" s="101"/>
      <c r="D354" s="101"/>
      <c r="E354" s="101"/>
      <c r="F354" s="101"/>
      <c r="G354" s="101"/>
      <c r="H354" s="101"/>
      <c r="I354" s="101"/>
      <c r="J354" s="101"/>
    </row>
    <row r="355" spans="3:10" ht="16.5">
      <c r="C355" s="101"/>
      <c r="D355" s="101"/>
      <c r="E355" s="101"/>
      <c r="F355" s="101"/>
      <c r="G355" s="101"/>
      <c r="H355" s="101"/>
      <c r="I355" s="101"/>
      <c r="J355" s="101"/>
    </row>
    <row r="356" spans="3:10" ht="16.5">
      <c r="C356" s="101"/>
      <c r="D356" s="101"/>
      <c r="E356" s="101"/>
      <c r="F356" s="101"/>
      <c r="G356" s="101"/>
      <c r="H356" s="101"/>
      <c r="I356" s="101"/>
      <c r="J356" s="101"/>
    </row>
    <row r="357" spans="3:10" ht="16.5">
      <c r="C357" s="101"/>
      <c r="D357" s="101"/>
      <c r="E357" s="101"/>
      <c r="F357" s="101"/>
      <c r="G357" s="101"/>
      <c r="H357" s="101"/>
      <c r="I357" s="101"/>
      <c r="J357" s="101"/>
    </row>
    <row r="358" spans="3:10" ht="16.5">
      <c r="C358" s="101"/>
      <c r="D358" s="101"/>
      <c r="E358" s="101"/>
      <c r="F358" s="101"/>
      <c r="G358" s="101"/>
      <c r="H358" s="101"/>
      <c r="I358" s="101"/>
      <c r="J358" s="101"/>
    </row>
    <row r="359" spans="3:10" ht="16.5">
      <c r="C359" s="101"/>
      <c r="D359" s="101"/>
      <c r="E359" s="101"/>
      <c r="F359" s="101"/>
      <c r="G359" s="101"/>
      <c r="H359" s="101"/>
      <c r="I359" s="101"/>
      <c r="J359" s="101"/>
    </row>
    <row r="360" spans="3:10" ht="16.5">
      <c r="C360" s="101"/>
      <c r="D360" s="101"/>
      <c r="E360" s="101"/>
      <c r="F360" s="101"/>
      <c r="G360" s="101"/>
      <c r="H360" s="101"/>
      <c r="I360" s="101"/>
      <c r="J360" s="101"/>
    </row>
    <row r="361" spans="3:10" ht="16.5">
      <c r="C361" s="101"/>
      <c r="D361" s="101"/>
      <c r="E361" s="101"/>
      <c r="F361" s="101"/>
      <c r="G361" s="101"/>
      <c r="H361" s="101"/>
      <c r="I361" s="101"/>
      <c r="J361" s="101"/>
    </row>
    <row r="362" spans="3:10" ht="16.5">
      <c r="C362" s="101"/>
      <c r="D362" s="101"/>
      <c r="E362" s="101"/>
      <c r="F362" s="101"/>
      <c r="G362" s="101"/>
      <c r="H362" s="101"/>
      <c r="I362" s="101"/>
      <c r="J362" s="101"/>
    </row>
    <row r="363" spans="3:10" ht="16.5">
      <c r="C363" s="101"/>
      <c r="D363" s="101"/>
      <c r="E363" s="101"/>
      <c r="F363" s="101"/>
      <c r="G363" s="101"/>
      <c r="H363" s="101"/>
      <c r="I363" s="101"/>
      <c r="J363" s="101"/>
    </row>
    <row r="364" spans="3:10" ht="16.5">
      <c r="C364" s="101"/>
      <c r="D364" s="101"/>
      <c r="E364" s="101"/>
      <c r="F364" s="101"/>
      <c r="G364" s="101"/>
      <c r="H364" s="101"/>
      <c r="I364" s="101"/>
      <c r="J364" s="101"/>
    </row>
    <row r="365" spans="3:10" ht="16.5">
      <c r="C365" s="101"/>
      <c r="D365" s="101"/>
      <c r="E365" s="101"/>
      <c r="F365" s="101"/>
      <c r="G365" s="101"/>
      <c r="H365" s="101"/>
      <c r="I365" s="101"/>
      <c r="J365" s="101"/>
    </row>
    <row r="366" spans="3:10" ht="16.5">
      <c r="C366" s="101"/>
      <c r="D366" s="101"/>
      <c r="E366" s="101"/>
      <c r="F366" s="101"/>
      <c r="G366" s="101"/>
      <c r="H366" s="101"/>
      <c r="I366" s="101"/>
      <c r="J366" s="101"/>
    </row>
    <row r="367" spans="3:10" ht="16.5">
      <c r="C367" s="101"/>
      <c r="D367" s="101"/>
      <c r="E367" s="101"/>
      <c r="F367" s="101"/>
      <c r="G367" s="101"/>
      <c r="H367" s="101"/>
      <c r="I367" s="101"/>
      <c r="J367" s="101"/>
    </row>
    <row r="368" spans="3:10" ht="16.5">
      <c r="C368" s="101"/>
      <c r="D368" s="101"/>
      <c r="E368" s="101"/>
      <c r="F368" s="101"/>
      <c r="G368" s="101"/>
      <c r="H368" s="101"/>
      <c r="I368" s="101"/>
      <c r="J368" s="101"/>
    </row>
    <row r="369" spans="3:10" ht="16.5">
      <c r="C369" s="101"/>
      <c r="D369" s="101"/>
      <c r="E369" s="101"/>
      <c r="F369" s="101"/>
      <c r="G369" s="101"/>
      <c r="H369" s="101"/>
      <c r="I369" s="101"/>
      <c r="J369" s="101"/>
    </row>
    <row r="370" spans="3:10" ht="16.5">
      <c r="C370" s="101"/>
      <c r="D370" s="101"/>
      <c r="E370" s="101"/>
      <c r="F370" s="101"/>
      <c r="G370" s="101"/>
      <c r="H370" s="101"/>
      <c r="I370" s="101"/>
      <c r="J370" s="101"/>
    </row>
    <row r="371" spans="3:10" ht="16.5">
      <c r="C371" s="101"/>
      <c r="D371" s="101"/>
      <c r="E371" s="101"/>
      <c r="F371" s="101"/>
      <c r="G371" s="101"/>
      <c r="H371" s="101"/>
      <c r="I371" s="101"/>
      <c r="J371" s="101"/>
    </row>
    <row r="372" spans="3:10" ht="16.5">
      <c r="C372" s="101"/>
      <c r="D372" s="101"/>
      <c r="E372" s="101"/>
      <c r="F372" s="101"/>
      <c r="G372" s="101"/>
      <c r="H372" s="101"/>
      <c r="I372" s="101"/>
      <c r="J372" s="101"/>
    </row>
    <row r="373" spans="3:10" ht="16.5">
      <c r="C373" s="101"/>
      <c r="D373" s="101"/>
      <c r="E373" s="101"/>
      <c r="F373" s="101"/>
      <c r="G373" s="101"/>
      <c r="H373" s="101"/>
      <c r="I373" s="101"/>
      <c r="J373" s="101"/>
    </row>
    <row r="374" spans="3:10" ht="16.5">
      <c r="C374" s="101"/>
      <c r="D374" s="101"/>
      <c r="E374" s="101"/>
      <c r="F374" s="101"/>
      <c r="G374" s="101"/>
      <c r="H374" s="101"/>
      <c r="I374" s="101"/>
      <c r="J374" s="101"/>
    </row>
    <row r="375" spans="3:10" ht="16.5">
      <c r="C375" s="101"/>
      <c r="D375" s="101"/>
      <c r="E375" s="101"/>
      <c r="F375" s="101"/>
      <c r="G375" s="101"/>
      <c r="H375" s="101"/>
      <c r="I375" s="101"/>
      <c r="J375" s="101"/>
    </row>
    <row r="376" spans="3:10" ht="16.5">
      <c r="C376" s="101"/>
      <c r="D376" s="101"/>
      <c r="E376" s="101"/>
      <c r="F376" s="101"/>
      <c r="G376" s="101"/>
      <c r="H376" s="101"/>
      <c r="I376" s="101"/>
      <c r="J376" s="101"/>
    </row>
    <row r="377" spans="3:10" ht="16.5">
      <c r="C377" s="101"/>
      <c r="D377" s="101"/>
      <c r="E377" s="101"/>
      <c r="F377" s="101"/>
      <c r="G377" s="101"/>
      <c r="H377" s="101"/>
      <c r="I377" s="101"/>
      <c r="J377" s="101"/>
    </row>
    <row r="378" spans="3:10" ht="16.5">
      <c r="C378" s="101"/>
      <c r="D378" s="101"/>
      <c r="E378" s="101"/>
      <c r="F378" s="101"/>
      <c r="G378" s="101"/>
      <c r="H378" s="101"/>
      <c r="I378" s="101"/>
      <c r="J378" s="101"/>
    </row>
    <row r="379" spans="3:10" ht="16.5">
      <c r="C379" s="101"/>
      <c r="D379" s="101"/>
      <c r="E379" s="101"/>
      <c r="F379" s="101"/>
      <c r="G379" s="101"/>
      <c r="H379" s="101"/>
      <c r="I379" s="101"/>
      <c r="J379" s="101"/>
    </row>
    <row r="380" spans="3:10" ht="16.5">
      <c r="C380" s="101"/>
      <c r="D380" s="101"/>
      <c r="E380" s="101"/>
      <c r="F380" s="101"/>
      <c r="G380" s="101"/>
      <c r="H380" s="101"/>
      <c r="I380" s="101"/>
      <c r="J380" s="101"/>
    </row>
    <row r="381" spans="3:10" ht="16.5">
      <c r="C381" s="101"/>
      <c r="D381" s="101"/>
      <c r="E381" s="101"/>
      <c r="F381" s="101"/>
      <c r="G381" s="101"/>
      <c r="H381" s="101"/>
      <c r="I381" s="101"/>
      <c r="J381" s="101"/>
    </row>
    <row r="382" spans="3:10" ht="16.5">
      <c r="C382" s="101"/>
      <c r="D382" s="101"/>
      <c r="E382" s="101"/>
      <c r="F382" s="101"/>
      <c r="G382" s="101"/>
      <c r="H382" s="101"/>
      <c r="I382" s="101"/>
      <c r="J382" s="101"/>
    </row>
    <row r="383" spans="3:10" ht="16.5">
      <c r="C383" s="101"/>
      <c r="D383" s="101"/>
      <c r="E383" s="101"/>
      <c r="F383" s="101"/>
      <c r="G383" s="101"/>
      <c r="H383" s="101"/>
      <c r="I383" s="101"/>
      <c r="J383" s="101"/>
    </row>
    <row r="384" spans="3:10" ht="16.5">
      <c r="C384" s="101"/>
      <c r="D384" s="101"/>
      <c r="E384" s="101"/>
      <c r="F384" s="101"/>
      <c r="G384" s="101"/>
      <c r="H384" s="101"/>
      <c r="I384" s="101"/>
      <c r="J384" s="101"/>
    </row>
    <row r="385" spans="3:10" ht="16.5">
      <c r="C385" s="101"/>
      <c r="D385" s="101"/>
      <c r="E385" s="101"/>
      <c r="F385" s="101"/>
      <c r="G385" s="101"/>
      <c r="H385" s="101"/>
      <c r="I385" s="101"/>
      <c r="J385" s="101"/>
    </row>
    <row r="386" spans="3:10" ht="16.5">
      <c r="C386" s="101"/>
      <c r="D386" s="101"/>
      <c r="E386" s="101"/>
      <c r="F386" s="101"/>
      <c r="G386" s="101"/>
      <c r="H386" s="101"/>
      <c r="I386" s="101"/>
      <c r="J386" s="101"/>
    </row>
    <row r="387" spans="3:10" ht="16.5">
      <c r="C387" s="101"/>
      <c r="D387" s="101"/>
      <c r="E387" s="101"/>
      <c r="F387" s="101"/>
      <c r="G387" s="101"/>
      <c r="H387" s="101"/>
      <c r="I387" s="101"/>
      <c r="J387" s="101"/>
    </row>
    <row r="388" spans="3:10" ht="16.5">
      <c r="C388" s="101"/>
      <c r="D388" s="101"/>
      <c r="E388" s="101"/>
      <c r="F388" s="101"/>
      <c r="G388" s="101"/>
      <c r="H388" s="101"/>
      <c r="I388" s="101"/>
      <c r="J388" s="101"/>
    </row>
    <row r="389" spans="3:10" ht="16.5">
      <c r="C389" s="101"/>
      <c r="D389" s="101"/>
      <c r="E389" s="101"/>
      <c r="F389" s="101"/>
      <c r="G389" s="101"/>
      <c r="H389" s="101"/>
      <c r="I389" s="101"/>
      <c r="J389" s="101"/>
    </row>
    <row r="390" spans="3:10" ht="16.5">
      <c r="C390" s="101"/>
      <c r="D390" s="101"/>
      <c r="E390" s="101"/>
      <c r="F390" s="101"/>
      <c r="G390" s="101"/>
      <c r="H390" s="101"/>
      <c r="I390" s="101"/>
      <c r="J390" s="101"/>
    </row>
    <row r="391" spans="3:10" ht="16.5">
      <c r="C391" s="101"/>
      <c r="D391" s="101"/>
      <c r="E391" s="101"/>
      <c r="F391" s="101"/>
      <c r="G391" s="101"/>
      <c r="H391" s="101"/>
      <c r="I391" s="101"/>
      <c r="J391" s="101"/>
    </row>
    <row r="392" spans="3:10" ht="16.5">
      <c r="C392" s="101"/>
      <c r="D392" s="101"/>
      <c r="E392" s="101"/>
      <c r="F392" s="101"/>
      <c r="G392" s="101"/>
      <c r="H392" s="101"/>
      <c r="I392" s="101"/>
      <c r="J392" s="101"/>
    </row>
    <row r="393" spans="3:10" ht="16.5">
      <c r="C393" s="101"/>
      <c r="D393" s="101"/>
      <c r="E393" s="101"/>
      <c r="F393" s="101"/>
      <c r="G393" s="101"/>
      <c r="H393" s="101"/>
      <c r="I393" s="101"/>
      <c r="J393" s="101"/>
    </row>
    <row r="394" spans="3:10" ht="16.5">
      <c r="C394" s="101"/>
      <c r="D394" s="101"/>
      <c r="E394" s="101"/>
      <c r="F394" s="101"/>
      <c r="G394" s="101"/>
      <c r="H394" s="101"/>
      <c r="I394" s="101"/>
      <c r="J394" s="101"/>
    </row>
    <row r="395" spans="3:10" ht="16.5">
      <c r="C395" s="101"/>
      <c r="D395" s="101"/>
      <c r="E395" s="101"/>
      <c r="F395" s="101"/>
      <c r="G395" s="101"/>
      <c r="H395" s="101"/>
      <c r="I395" s="101"/>
      <c r="J395" s="101"/>
    </row>
    <row r="396" spans="3:10" ht="16.5">
      <c r="C396" s="101"/>
      <c r="D396" s="101"/>
      <c r="E396" s="101"/>
      <c r="F396" s="101"/>
      <c r="G396" s="101"/>
      <c r="H396" s="101"/>
      <c r="I396" s="101"/>
      <c r="J396" s="101"/>
    </row>
    <row r="397" spans="3:10" ht="16.5">
      <c r="C397" s="101"/>
      <c r="D397" s="101"/>
      <c r="E397" s="101"/>
      <c r="F397" s="101"/>
      <c r="G397" s="101"/>
      <c r="H397" s="101"/>
      <c r="I397" s="101"/>
      <c r="J397" s="101"/>
    </row>
    <row r="398" spans="3:10" ht="16.5">
      <c r="C398" s="101"/>
      <c r="D398" s="101"/>
      <c r="E398" s="101"/>
      <c r="F398" s="101"/>
      <c r="G398" s="101"/>
      <c r="H398" s="101"/>
      <c r="I398" s="101"/>
      <c r="J398" s="101"/>
    </row>
    <row r="399" spans="3:10" ht="16.5">
      <c r="C399" s="101"/>
      <c r="D399" s="101"/>
      <c r="E399" s="101"/>
      <c r="F399" s="101"/>
      <c r="G399" s="101"/>
      <c r="H399" s="101"/>
      <c r="I399" s="101"/>
      <c r="J399" s="101"/>
    </row>
    <row r="400" spans="3:10" ht="16.5">
      <c r="C400" s="101"/>
      <c r="D400" s="101"/>
      <c r="E400" s="101"/>
      <c r="F400" s="101"/>
      <c r="G400" s="101"/>
      <c r="H400" s="101"/>
      <c r="I400" s="101"/>
      <c r="J400" s="101"/>
    </row>
    <row r="401" spans="3:10" ht="16.5">
      <c r="C401" s="101"/>
      <c r="D401" s="101"/>
      <c r="E401" s="101"/>
      <c r="F401" s="101"/>
      <c r="G401" s="101"/>
      <c r="H401" s="101"/>
      <c r="I401" s="101"/>
      <c r="J401" s="101"/>
    </row>
    <row r="402" spans="3:10" ht="16.5">
      <c r="C402" s="101"/>
      <c r="D402" s="101"/>
      <c r="E402" s="101"/>
      <c r="F402" s="101"/>
      <c r="G402" s="101"/>
      <c r="H402" s="101"/>
      <c r="I402" s="101"/>
      <c r="J402" s="101"/>
    </row>
    <row r="403" spans="3:10" ht="16.5">
      <c r="C403" s="101"/>
      <c r="D403" s="101"/>
      <c r="E403" s="101"/>
      <c r="F403" s="101"/>
      <c r="G403" s="101"/>
      <c r="H403" s="101"/>
      <c r="I403" s="101"/>
      <c r="J403" s="101"/>
    </row>
    <row r="404" spans="3:10" ht="16.5">
      <c r="C404" s="101"/>
      <c r="D404" s="101"/>
      <c r="E404" s="101"/>
      <c r="F404" s="101"/>
      <c r="G404" s="101"/>
      <c r="H404" s="101"/>
      <c r="I404" s="101"/>
      <c r="J404" s="101"/>
    </row>
    <row r="405" spans="3:10" ht="16.5">
      <c r="C405" s="101"/>
      <c r="D405" s="101"/>
      <c r="E405" s="101"/>
      <c r="F405" s="101"/>
      <c r="G405" s="101"/>
      <c r="H405" s="101"/>
      <c r="I405" s="101"/>
      <c r="J405" s="101"/>
    </row>
    <row r="406" spans="3:10" ht="16.5">
      <c r="C406" s="101"/>
      <c r="D406" s="101"/>
      <c r="E406" s="101"/>
      <c r="F406" s="101"/>
      <c r="G406" s="101"/>
      <c r="H406" s="101"/>
      <c r="I406" s="101"/>
      <c r="J406" s="101"/>
    </row>
    <row r="407" spans="3:10" ht="16.5">
      <c r="C407" s="101"/>
      <c r="D407" s="101"/>
      <c r="E407" s="101"/>
      <c r="F407" s="101"/>
      <c r="G407" s="101"/>
      <c r="H407" s="101"/>
      <c r="I407" s="101"/>
      <c r="J407" s="101"/>
    </row>
    <row r="408" spans="3:10" ht="16.5">
      <c r="C408" s="101"/>
      <c r="D408" s="101"/>
      <c r="E408" s="101"/>
      <c r="F408" s="101"/>
      <c r="G408" s="101"/>
      <c r="H408" s="101"/>
      <c r="I408" s="101"/>
      <c r="J408" s="101"/>
    </row>
    <row r="409" spans="3:10" ht="16.5">
      <c r="C409" s="101"/>
      <c r="D409" s="101"/>
      <c r="E409" s="101"/>
      <c r="F409" s="101"/>
      <c r="G409" s="101"/>
      <c r="H409" s="101"/>
      <c r="I409" s="101"/>
      <c r="J409" s="101"/>
    </row>
    <row r="410" spans="3:10" ht="16.5">
      <c r="C410" s="101"/>
      <c r="D410" s="101"/>
      <c r="E410" s="101"/>
      <c r="F410" s="101"/>
      <c r="G410" s="101"/>
      <c r="H410" s="101"/>
      <c r="I410" s="101"/>
      <c r="J410" s="101"/>
    </row>
    <row r="411" spans="3:10" ht="16.5">
      <c r="C411" s="101"/>
      <c r="D411" s="101"/>
      <c r="E411" s="101"/>
      <c r="F411" s="101"/>
      <c r="G411" s="101"/>
      <c r="H411" s="101"/>
      <c r="I411" s="101"/>
      <c r="J411" s="101"/>
    </row>
    <row r="412" spans="3:10" ht="16.5">
      <c r="C412" s="101"/>
      <c r="D412" s="101"/>
      <c r="E412" s="101"/>
      <c r="F412" s="101"/>
      <c r="G412" s="101"/>
      <c r="H412" s="101"/>
      <c r="I412" s="101"/>
      <c r="J412" s="101"/>
    </row>
    <row r="413" spans="3:10" ht="16.5">
      <c r="C413" s="101"/>
      <c r="D413" s="101"/>
      <c r="E413" s="101"/>
      <c r="F413" s="101"/>
      <c r="G413" s="101"/>
      <c r="H413" s="101"/>
      <c r="I413" s="101"/>
      <c r="J413" s="101"/>
    </row>
    <row r="414" spans="3:10" ht="16.5">
      <c r="C414" s="101"/>
      <c r="D414" s="101"/>
      <c r="E414" s="101"/>
      <c r="F414" s="101"/>
      <c r="G414" s="101"/>
      <c r="H414" s="101"/>
      <c r="I414" s="101"/>
      <c r="J414" s="101"/>
    </row>
    <row r="415" spans="3:10" ht="16.5">
      <c r="C415" s="101"/>
      <c r="D415" s="101"/>
      <c r="E415" s="101"/>
      <c r="F415" s="101"/>
      <c r="G415" s="101"/>
      <c r="H415" s="101"/>
      <c r="I415" s="101"/>
      <c r="J415" s="101"/>
    </row>
    <row r="416" spans="3:10" ht="16.5">
      <c r="C416" s="101"/>
      <c r="D416" s="101"/>
      <c r="E416" s="101"/>
      <c r="F416" s="101"/>
      <c r="G416" s="101"/>
      <c r="H416" s="101"/>
      <c r="I416" s="101"/>
      <c r="J416" s="101"/>
    </row>
    <row r="417" spans="3:10" ht="16.5">
      <c r="C417" s="101"/>
      <c r="D417" s="101"/>
      <c r="E417" s="101"/>
      <c r="F417" s="101"/>
      <c r="G417" s="101"/>
      <c r="H417" s="101"/>
      <c r="I417" s="101"/>
      <c r="J417" s="101"/>
    </row>
    <row r="418" spans="3:10" ht="16.5">
      <c r="C418" s="101"/>
      <c r="D418" s="101"/>
      <c r="E418" s="101"/>
      <c r="F418" s="101"/>
      <c r="G418" s="101"/>
      <c r="H418" s="101"/>
      <c r="I418" s="101"/>
      <c r="J418" s="101"/>
    </row>
    <row r="419" spans="3:10" ht="16.5">
      <c r="C419" s="101"/>
      <c r="D419" s="101"/>
      <c r="E419" s="101"/>
      <c r="F419" s="101"/>
      <c r="G419" s="101"/>
      <c r="H419" s="101"/>
      <c r="I419" s="101"/>
      <c r="J419" s="101"/>
    </row>
    <row r="420" spans="3:10" ht="16.5">
      <c r="C420" s="101"/>
      <c r="D420" s="101"/>
      <c r="E420" s="101"/>
      <c r="F420" s="101"/>
      <c r="G420" s="101"/>
      <c r="H420" s="101"/>
      <c r="I420" s="101"/>
      <c r="J420" s="101"/>
    </row>
    <row r="421" spans="3:10" ht="16.5">
      <c r="C421" s="101"/>
      <c r="D421" s="101"/>
      <c r="E421" s="101"/>
      <c r="F421" s="101"/>
      <c r="G421" s="101"/>
      <c r="H421" s="101"/>
      <c r="I421" s="101"/>
      <c r="J421" s="101"/>
    </row>
    <row r="422" spans="3:10" ht="16.5">
      <c r="C422" s="101"/>
      <c r="D422" s="101"/>
      <c r="E422" s="101"/>
      <c r="F422" s="101"/>
      <c r="G422" s="101"/>
      <c r="H422" s="101"/>
      <c r="I422" s="101"/>
      <c r="J422" s="101"/>
    </row>
    <row r="423" spans="3:10" ht="16.5">
      <c r="C423" s="101"/>
      <c r="D423" s="101"/>
      <c r="E423" s="101"/>
      <c r="F423" s="101"/>
      <c r="G423" s="101"/>
      <c r="H423" s="101"/>
      <c r="I423" s="101"/>
      <c r="J423" s="101"/>
    </row>
    <row r="424" spans="3:10" ht="16.5">
      <c r="C424" s="101"/>
      <c r="D424" s="101"/>
      <c r="E424" s="101"/>
      <c r="F424" s="101"/>
      <c r="G424" s="101"/>
      <c r="H424" s="101"/>
      <c r="I424" s="101"/>
      <c r="J424" s="101"/>
    </row>
    <row r="425" spans="3:10" ht="16.5">
      <c r="C425" s="101"/>
      <c r="D425" s="101"/>
      <c r="E425" s="101"/>
      <c r="F425" s="101"/>
      <c r="G425" s="101"/>
      <c r="H425" s="101"/>
      <c r="I425" s="101"/>
      <c r="J425" s="101"/>
    </row>
    <row r="426" spans="3:10" ht="16.5">
      <c r="C426" s="101"/>
      <c r="D426" s="101"/>
      <c r="E426" s="101"/>
      <c r="F426" s="101"/>
      <c r="G426" s="101"/>
      <c r="H426" s="101"/>
      <c r="I426" s="101"/>
      <c r="J426" s="101"/>
    </row>
    <row r="427" spans="3:10" ht="16.5">
      <c r="C427" s="101"/>
      <c r="D427" s="101"/>
      <c r="E427" s="101"/>
      <c r="F427" s="101"/>
      <c r="G427" s="101"/>
      <c r="H427" s="101"/>
      <c r="I427" s="101"/>
      <c r="J427" s="101"/>
    </row>
    <row r="428" spans="3:10" ht="16.5">
      <c r="C428" s="101"/>
      <c r="D428" s="101"/>
      <c r="E428" s="101"/>
      <c r="F428" s="101"/>
      <c r="G428" s="101"/>
      <c r="H428" s="101"/>
      <c r="I428" s="101"/>
      <c r="J428" s="101"/>
    </row>
    <row r="429" spans="3:10" ht="16.5">
      <c r="C429" s="101"/>
      <c r="D429" s="101"/>
      <c r="E429" s="101"/>
      <c r="F429" s="101"/>
      <c r="G429" s="101"/>
      <c r="H429" s="101"/>
      <c r="I429" s="101"/>
      <c r="J429" s="101"/>
    </row>
    <row r="430" spans="3:10" ht="16.5">
      <c r="C430" s="101"/>
      <c r="D430" s="101"/>
      <c r="E430" s="101"/>
      <c r="F430" s="101"/>
      <c r="G430" s="101"/>
      <c r="H430" s="101"/>
      <c r="I430" s="101"/>
      <c r="J430" s="101"/>
    </row>
    <row r="431" spans="3:10" ht="16.5">
      <c r="C431" s="101"/>
      <c r="D431" s="101"/>
      <c r="E431" s="101"/>
      <c r="F431" s="101"/>
      <c r="G431" s="101"/>
      <c r="H431" s="101"/>
      <c r="I431" s="101"/>
      <c r="J431" s="101"/>
    </row>
    <row r="432" spans="3:10" ht="16.5">
      <c r="C432" s="101"/>
      <c r="D432" s="101"/>
      <c r="E432" s="101"/>
      <c r="F432" s="101"/>
      <c r="G432" s="101"/>
      <c r="H432" s="101"/>
      <c r="I432" s="101"/>
      <c r="J432" s="101"/>
    </row>
    <row r="433" spans="3:10" ht="16.5">
      <c r="C433" s="101"/>
      <c r="D433" s="101"/>
      <c r="E433" s="101"/>
      <c r="F433" s="101"/>
      <c r="G433" s="101"/>
      <c r="H433" s="101"/>
      <c r="I433" s="101"/>
      <c r="J433" s="101"/>
    </row>
    <row r="434" spans="3:10" ht="16.5">
      <c r="C434" s="101"/>
      <c r="D434" s="101"/>
      <c r="E434" s="101"/>
      <c r="F434" s="101"/>
      <c r="G434" s="101"/>
      <c r="H434" s="101"/>
      <c r="I434" s="101"/>
      <c r="J434" s="101"/>
    </row>
    <row r="435" spans="3:10" ht="16.5">
      <c r="C435" s="101"/>
      <c r="D435" s="101"/>
      <c r="E435" s="101"/>
      <c r="F435" s="101"/>
      <c r="G435" s="101"/>
      <c r="H435" s="101"/>
      <c r="I435" s="101"/>
      <c r="J435" s="101"/>
    </row>
    <row r="436" spans="3:10" ht="16.5">
      <c r="C436" s="101"/>
      <c r="D436" s="101"/>
      <c r="E436" s="101"/>
      <c r="F436" s="101"/>
      <c r="G436" s="101"/>
      <c r="H436" s="101"/>
      <c r="I436" s="101"/>
      <c r="J436" s="101"/>
    </row>
    <row r="437" spans="3:10" ht="16.5">
      <c r="C437" s="101"/>
      <c r="D437" s="101"/>
      <c r="E437" s="101"/>
      <c r="F437" s="101"/>
      <c r="G437" s="101"/>
      <c r="H437" s="101"/>
      <c r="I437" s="101"/>
      <c r="J437" s="101"/>
    </row>
    <row r="438" spans="3:10" ht="16.5">
      <c r="C438" s="101"/>
      <c r="D438" s="101"/>
      <c r="E438" s="101"/>
      <c r="F438" s="101"/>
      <c r="G438" s="101"/>
      <c r="H438" s="101"/>
      <c r="I438" s="101"/>
      <c r="J438" s="101"/>
    </row>
    <row r="439" spans="3:10" ht="16.5">
      <c r="C439" s="101"/>
      <c r="D439" s="101"/>
      <c r="E439" s="101"/>
      <c r="F439" s="101"/>
      <c r="G439" s="101"/>
      <c r="H439" s="101"/>
      <c r="I439" s="101"/>
      <c r="J439" s="101"/>
    </row>
    <row r="440" spans="3:10" ht="16.5">
      <c r="C440" s="101"/>
      <c r="D440" s="101"/>
      <c r="E440" s="101"/>
      <c r="F440" s="101"/>
      <c r="G440" s="101"/>
      <c r="H440" s="101"/>
      <c r="I440" s="101"/>
      <c r="J440" s="101"/>
    </row>
    <row r="441" spans="3:10" ht="16.5">
      <c r="C441" s="101"/>
      <c r="D441" s="101"/>
      <c r="E441" s="101"/>
      <c r="F441" s="101"/>
      <c r="G441" s="101"/>
      <c r="H441" s="101"/>
      <c r="I441" s="101"/>
      <c r="J441" s="101"/>
    </row>
    <row r="442" spans="3:10" ht="16.5">
      <c r="C442" s="101"/>
      <c r="D442" s="101"/>
      <c r="E442" s="101"/>
      <c r="F442" s="101"/>
      <c r="G442" s="101"/>
      <c r="H442" s="101"/>
      <c r="I442" s="101"/>
      <c r="J442" s="101"/>
    </row>
    <row r="443" spans="3:10" ht="16.5">
      <c r="C443" s="101"/>
      <c r="D443" s="101"/>
      <c r="E443" s="101"/>
      <c r="F443" s="101"/>
      <c r="G443" s="101"/>
      <c r="H443" s="101"/>
      <c r="I443" s="101"/>
      <c r="J443" s="101"/>
    </row>
    <row r="444" spans="3:10" ht="16.5">
      <c r="C444" s="101"/>
      <c r="D444" s="101"/>
      <c r="E444" s="101"/>
      <c r="F444" s="101"/>
      <c r="G444" s="101"/>
      <c r="H444" s="101"/>
      <c r="I444" s="101"/>
      <c r="J444" s="101"/>
    </row>
    <row r="445" spans="3:10" ht="16.5">
      <c r="C445" s="101"/>
      <c r="D445" s="101"/>
      <c r="E445" s="101"/>
      <c r="F445" s="101"/>
      <c r="G445" s="101"/>
      <c r="H445" s="101"/>
      <c r="I445" s="101"/>
      <c r="J445" s="101"/>
    </row>
    <row r="446" spans="3:10" ht="16.5">
      <c r="C446" s="101"/>
      <c r="D446" s="101"/>
      <c r="E446" s="101"/>
      <c r="F446" s="101"/>
      <c r="G446" s="101"/>
      <c r="H446" s="101"/>
      <c r="I446" s="101"/>
      <c r="J446" s="101"/>
    </row>
    <row r="447" spans="3:10" ht="16.5">
      <c r="C447" s="101"/>
      <c r="D447" s="101"/>
      <c r="E447" s="101"/>
      <c r="F447" s="101"/>
      <c r="G447" s="101"/>
      <c r="H447" s="101"/>
      <c r="I447" s="101"/>
      <c r="J447" s="101"/>
    </row>
    <row r="448" spans="3:10" ht="16.5">
      <c r="C448" s="101"/>
      <c r="D448" s="101"/>
      <c r="E448" s="101"/>
      <c r="F448" s="101"/>
      <c r="G448" s="101"/>
      <c r="H448" s="101"/>
      <c r="I448" s="101"/>
      <c r="J448" s="101"/>
    </row>
    <row r="449" spans="3:10" ht="16.5">
      <c r="C449" s="101"/>
      <c r="D449" s="101"/>
      <c r="E449" s="101"/>
      <c r="F449" s="101"/>
      <c r="G449" s="101"/>
      <c r="H449" s="101"/>
      <c r="I449" s="101"/>
      <c r="J449" s="101"/>
    </row>
    <row r="450" spans="3:10" ht="16.5">
      <c r="C450" s="101"/>
      <c r="D450" s="101"/>
      <c r="E450" s="101"/>
      <c r="F450" s="101"/>
      <c r="G450" s="101"/>
      <c r="H450" s="101"/>
      <c r="I450" s="101"/>
      <c r="J450" s="101"/>
    </row>
    <row r="451" spans="3:10" ht="16.5">
      <c r="C451" s="101"/>
      <c r="D451" s="101"/>
      <c r="E451" s="101"/>
      <c r="F451" s="101"/>
      <c r="G451" s="101"/>
      <c r="H451" s="101"/>
      <c r="I451" s="101"/>
      <c r="J451" s="101"/>
    </row>
    <row r="452" spans="3:10" ht="16.5">
      <c r="C452" s="101"/>
      <c r="D452" s="101"/>
      <c r="E452" s="101"/>
      <c r="F452" s="101"/>
      <c r="G452" s="101"/>
      <c r="H452" s="101"/>
      <c r="I452" s="101"/>
      <c r="J452" s="101"/>
    </row>
    <row r="453" spans="3:10" ht="16.5">
      <c r="C453" s="101"/>
      <c r="D453" s="101"/>
      <c r="E453" s="101"/>
      <c r="F453" s="101"/>
      <c r="G453" s="101"/>
      <c r="H453" s="101"/>
      <c r="I453" s="101"/>
      <c r="J453" s="101"/>
    </row>
    <row r="454" spans="3:10" ht="16.5">
      <c r="C454" s="101"/>
      <c r="D454" s="101"/>
      <c r="E454" s="101"/>
      <c r="F454" s="101"/>
      <c r="G454" s="101"/>
      <c r="H454" s="101"/>
      <c r="I454" s="101"/>
      <c r="J454" s="101"/>
    </row>
    <row r="455" spans="3:10" ht="16.5">
      <c r="C455" s="101"/>
      <c r="D455" s="101"/>
      <c r="E455" s="101"/>
      <c r="F455" s="101"/>
      <c r="G455" s="101"/>
      <c r="H455" s="101"/>
      <c r="I455" s="101"/>
      <c r="J455" s="101"/>
    </row>
    <row r="456" spans="3:10" ht="16.5">
      <c r="C456" s="101"/>
      <c r="D456" s="101"/>
      <c r="E456" s="101"/>
      <c r="F456" s="101"/>
      <c r="G456" s="101"/>
      <c r="H456" s="101"/>
      <c r="I456" s="101"/>
      <c r="J456" s="101"/>
    </row>
    <row r="457" spans="3:10" ht="16.5">
      <c r="C457" s="101"/>
      <c r="D457" s="101"/>
      <c r="E457" s="101"/>
      <c r="F457" s="101"/>
      <c r="G457" s="101"/>
      <c r="H457" s="101"/>
      <c r="I457" s="101"/>
      <c r="J457" s="101"/>
    </row>
    <row r="458" spans="3:10" ht="16.5">
      <c r="C458" s="101"/>
      <c r="D458" s="101"/>
      <c r="E458" s="101"/>
      <c r="F458" s="101"/>
      <c r="G458" s="101"/>
      <c r="H458" s="101"/>
      <c r="I458" s="101"/>
      <c r="J458" s="101"/>
    </row>
    <row r="459" spans="3:10" ht="16.5">
      <c r="C459" s="101"/>
      <c r="D459" s="101"/>
      <c r="E459" s="101"/>
      <c r="F459" s="101"/>
      <c r="G459" s="101"/>
      <c r="H459" s="101"/>
      <c r="I459" s="101"/>
      <c r="J459" s="101"/>
    </row>
    <row r="460" spans="3:10" ht="16.5">
      <c r="C460" s="101"/>
      <c r="D460" s="101"/>
      <c r="E460" s="101"/>
      <c r="F460" s="101"/>
      <c r="G460" s="101"/>
      <c r="H460" s="101"/>
      <c r="I460" s="101"/>
      <c r="J460" s="101"/>
    </row>
    <row r="461" spans="3:10" ht="16.5">
      <c r="C461" s="101"/>
      <c r="D461" s="101"/>
      <c r="E461" s="101"/>
      <c r="F461" s="101"/>
      <c r="G461" s="101"/>
      <c r="H461" s="101"/>
      <c r="I461" s="101"/>
      <c r="J461" s="101"/>
    </row>
    <row r="462" spans="3:10" ht="16.5">
      <c r="C462" s="101"/>
      <c r="D462" s="101"/>
      <c r="E462" s="101"/>
      <c r="F462" s="101"/>
      <c r="G462" s="101"/>
      <c r="H462" s="101"/>
      <c r="I462" s="101"/>
      <c r="J462" s="101"/>
    </row>
    <row r="463" spans="3:10" ht="16.5">
      <c r="C463" s="101"/>
      <c r="D463" s="101"/>
      <c r="E463" s="101"/>
      <c r="F463" s="101"/>
      <c r="G463" s="101"/>
      <c r="H463" s="101"/>
      <c r="I463" s="101"/>
      <c r="J463" s="101"/>
    </row>
    <row r="464" spans="3:10" ht="16.5">
      <c r="C464" s="101"/>
      <c r="D464" s="101"/>
      <c r="E464" s="101"/>
      <c r="F464" s="101"/>
      <c r="G464" s="101"/>
      <c r="H464" s="101"/>
      <c r="I464" s="101"/>
      <c r="J464" s="101"/>
    </row>
    <row r="465" spans="3:10" ht="16.5">
      <c r="C465" s="101"/>
      <c r="D465" s="101"/>
      <c r="E465" s="101"/>
      <c r="F465" s="101"/>
      <c r="G465" s="101"/>
      <c r="H465" s="101"/>
      <c r="I465" s="101"/>
      <c r="J465" s="101"/>
    </row>
    <row r="466" spans="3:10" ht="16.5">
      <c r="C466" s="101"/>
      <c r="D466" s="101"/>
      <c r="E466" s="101"/>
      <c r="F466" s="101"/>
      <c r="G466" s="101"/>
      <c r="H466" s="101"/>
      <c r="I466" s="101"/>
      <c r="J466" s="101"/>
    </row>
    <row r="467" spans="3:10" ht="16.5">
      <c r="C467" s="101"/>
      <c r="D467" s="101"/>
      <c r="E467" s="101"/>
      <c r="F467" s="101"/>
      <c r="G467" s="101"/>
      <c r="H467" s="101"/>
      <c r="I467" s="101"/>
      <c r="J467" s="101"/>
    </row>
    <row r="468" spans="3:10" ht="16.5">
      <c r="C468" s="101"/>
      <c r="D468" s="101"/>
      <c r="E468" s="101"/>
      <c r="F468" s="101"/>
      <c r="G468" s="101"/>
      <c r="H468" s="101"/>
      <c r="I468" s="101"/>
      <c r="J468" s="101"/>
    </row>
    <row r="469" spans="3:10" ht="16.5">
      <c r="C469" s="101"/>
      <c r="D469" s="101"/>
      <c r="E469" s="101"/>
      <c r="F469" s="101"/>
      <c r="G469" s="101"/>
      <c r="H469" s="101"/>
      <c r="I469" s="101"/>
      <c r="J469" s="101"/>
    </row>
    <row r="470" spans="3:10" ht="16.5">
      <c r="C470" s="101"/>
      <c r="D470" s="101"/>
      <c r="E470" s="101"/>
      <c r="F470" s="101"/>
      <c r="G470" s="101"/>
      <c r="H470" s="101"/>
      <c r="I470" s="101"/>
      <c r="J470" s="101"/>
    </row>
    <row r="471" spans="3:10" ht="16.5">
      <c r="C471" s="101"/>
      <c r="D471" s="101"/>
      <c r="E471" s="101"/>
      <c r="F471" s="101"/>
      <c r="G471" s="101"/>
      <c r="H471" s="101"/>
      <c r="I471" s="101"/>
      <c r="J471" s="101"/>
    </row>
    <row r="472" spans="3:10" ht="16.5">
      <c r="C472" s="101"/>
      <c r="D472" s="101"/>
      <c r="E472" s="101"/>
      <c r="F472" s="101"/>
      <c r="G472" s="101"/>
      <c r="H472" s="101"/>
      <c r="I472" s="101"/>
      <c r="J472" s="101"/>
    </row>
    <row r="473" spans="3:10" ht="16.5">
      <c r="C473" s="101"/>
      <c r="D473" s="101"/>
      <c r="E473" s="101"/>
      <c r="F473" s="101"/>
      <c r="G473" s="101"/>
      <c r="H473" s="101"/>
      <c r="I473" s="101"/>
      <c r="J473" s="101"/>
    </row>
    <row r="474" spans="3:10" ht="16.5">
      <c r="C474" s="101"/>
      <c r="D474" s="101"/>
      <c r="E474" s="101"/>
      <c r="F474" s="101"/>
      <c r="G474" s="101"/>
      <c r="H474" s="101"/>
      <c r="I474" s="101"/>
      <c r="J474" s="101"/>
    </row>
    <row r="475" spans="3:10" ht="16.5">
      <c r="C475" s="101"/>
      <c r="D475" s="101"/>
      <c r="E475" s="101"/>
      <c r="F475" s="101"/>
      <c r="G475" s="101"/>
      <c r="H475" s="101"/>
      <c r="I475" s="101"/>
      <c r="J475" s="101"/>
    </row>
    <row r="476" spans="3:10" ht="16.5">
      <c r="C476" s="101"/>
      <c r="D476" s="101"/>
      <c r="E476" s="101"/>
      <c r="F476" s="101"/>
      <c r="G476" s="101"/>
      <c r="H476" s="101"/>
      <c r="I476" s="101"/>
      <c r="J476" s="101"/>
    </row>
    <row r="477" spans="3:10" ht="16.5">
      <c r="C477" s="101"/>
      <c r="D477" s="101"/>
      <c r="E477" s="101"/>
      <c r="F477" s="101"/>
      <c r="G477" s="101"/>
      <c r="H477" s="101"/>
      <c r="I477" s="101"/>
      <c r="J477" s="101"/>
    </row>
    <row r="478" spans="3:10" ht="16.5">
      <c r="C478" s="101"/>
      <c r="D478" s="101"/>
      <c r="E478" s="101"/>
      <c r="F478" s="101"/>
      <c r="G478" s="101"/>
      <c r="H478" s="101"/>
      <c r="I478" s="101"/>
      <c r="J478" s="101"/>
    </row>
    <row r="479" spans="3:10" ht="16.5">
      <c r="C479" s="101"/>
      <c r="D479" s="101"/>
      <c r="E479" s="101"/>
      <c r="F479" s="101"/>
      <c r="G479" s="101"/>
      <c r="H479" s="101"/>
      <c r="I479" s="101"/>
      <c r="J479" s="101"/>
    </row>
    <row r="480" spans="3:10" ht="16.5">
      <c r="C480" s="101"/>
      <c r="D480" s="101"/>
      <c r="E480" s="101"/>
      <c r="F480" s="101"/>
      <c r="G480" s="101"/>
      <c r="H480" s="101"/>
      <c r="I480" s="101"/>
      <c r="J480" s="101"/>
    </row>
    <row r="481" spans="3:10" ht="16.5">
      <c r="C481" s="101"/>
      <c r="D481" s="101"/>
      <c r="E481" s="101"/>
      <c r="F481" s="101"/>
      <c r="G481" s="101"/>
      <c r="H481" s="101"/>
      <c r="I481" s="101"/>
      <c r="J481" s="101"/>
    </row>
    <row r="482" spans="3:10" ht="16.5">
      <c r="C482" s="101"/>
      <c r="D482" s="101"/>
      <c r="E482" s="101"/>
      <c r="F482" s="101"/>
      <c r="G482" s="101"/>
      <c r="H482" s="101"/>
      <c r="I482" s="101"/>
      <c r="J482" s="101"/>
    </row>
    <row r="483" spans="3:10" ht="16.5">
      <c r="C483" s="101"/>
      <c r="D483" s="101"/>
      <c r="E483" s="101"/>
      <c r="F483" s="101"/>
      <c r="G483" s="101"/>
      <c r="H483" s="101"/>
      <c r="I483" s="101"/>
      <c r="J483" s="101"/>
    </row>
    <row r="484" spans="3:10" ht="16.5">
      <c r="C484" s="101"/>
      <c r="D484" s="101"/>
      <c r="E484" s="101"/>
      <c r="F484" s="101"/>
      <c r="G484" s="101"/>
      <c r="H484" s="101"/>
      <c r="I484" s="101"/>
      <c r="J484" s="101"/>
    </row>
    <row r="485" spans="3:10" ht="16.5">
      <c r="C485" s="101"/>
      <c r="D485" s="101"/>
      <c r="E485" s="101"/>
      <c r="F485" s="101"/>
      <c r="G485" s="101"/>
      <c r="H485" s="101"/>
      <c r="I485" s="101"/>
      <c r="J485" s="101"/>
    </row>
    <row r="486" spans="3:10" ht="16.5">
      <c r="C486" s="101"/>
      <c r="D486" s="101"/>
      <c r="E486" s="101"/>
      <c r="F486" s="101"/>
      <c r="G486" s="101"/>
      <c r="H486" s="101"/>
      <c r="I486" s="101"/>
      <c r="J486" s="101"/>
    </row>
    <row r="487" spans="3:10" ht="16.5">
      <c r="C487" s="101"/>
      <c r="D487" s="101"/>
      <c r="E487" s="101"/>
      <c r="F487" s="101"/>
      <c r="G487" s="101"/>
      <c r="H487" s="101"/>
      <c r="I487" s="101"/>
      <c r="J487" s="101"/>
    </row>
    <row r="488" spans="3:10" ht="16.5">
      <c r="C488" s="101"/>
      <c r="D488" s="101"/>
      <c r="E488" s="101"/>
      <c r="F488" s="101"/>
      <c r="G488" s="101"/>
      <c r="H488" s="101"/>
      <c r="I488" s="101"/>
      <c r="J488" s="101"/>
    </row>
    <row r="489" spans="3:10" ht="16.5">
      <c r="C489" s="101"/>
      <c r="D489" s="101"/>
      <c r="E489" s="101"/>
      <c r="F489" s="101"/>
      <c r="G489" s="101"/>
      <c r="H489" s="101"/>
      <c r="I489" s="101"/>
      <c r="J489" s="101"/>
    </row>
    <row r="490" spans="3:10" ht="16.5">
      <c r="C490" s="101"/>
      <c r="D490" s="101"/>
      <c r="E490" s="101"/>
      <c r="F490" s="101"/>
      <c r="G490" s="101"/>
      <c r="H490" s="101"/>
      <c r="I490" s="101"/>
      <c r="J490" s="101"/>
    </row>
    <row r="491" spans="3:10" ht="16.5">
      <c r="C491" s="101"/>
      <c r="D491" s="101"/>
      <c r="E491" s="101"/>
      <c r="F491" s="101"/>
      <c r="G491" s="101"/>
      <c r="H491" s="101"/>
      <c r="I491" s="101"/>
      <c r="J491" s="101"/>
    </row>
    <row r="492" spans="3:10" ht="16.5">
      <c r="C492" s="101"/>
      <c r="D492" s="101"/>
      <c r="E492" s="101"/>
      <c r="F492" s="101"/>
      <c r="G492" s="101"/>
      <c r="H492" s="101"/>
      <c r="I492" s="101"/>
      <c r="J492" s="101"/>
    </row>
    <row r="493" spans="3:10" ht="16.5">
      <c r="C493" s="101"/>
      <c r="D493" s="101"/>
      <c r="E493" s="101"/>
      <c r="F493" s="101"/>
      <c r="G493" s="101"/>
      <c r="H493" s="101"/>
      <c r="I493" s="101"/>
      <c r="J493" s="101"/>
    </row>
    <row r="494" spans="3:10" ht="16.5">
      <c r="C494" s="101"/>
      <c r="D494" s="101"/>
      <c r="E494" s="101"/>
      <c r="F494" s="101"/>
      <c r="G494" s="101"/>
      <c r="H494" s="101"/>
      <c r="I494" s="101"/>
      <c r="J494" s="101"/>
    </row>
    <row r="495" spans="3:10" ht="16.5">
      <c r="C495" s="101"/>
      <c r="D495" s="101"/>
      <c r="E495" s="101"/>
      <c r="F495" s="101"/>
      <c r="G495" s="101"/>
      <c r="H495" s="101"/>
      <c r="I495" s="101"/>
      <c r="J495" s="101"/>
    </row>
    <row r="496" spans="3:10" ht="16.5">
      <c r="C496" s="101"/>
      <c r="D496" s="101"/>
      <c r="E496" s="101"/>
      <c r="F496" s="101"/>
      <c r="G496" s="101"/>
      <c r="H496" s="101"/>
      <c r="I496" s="101"/>
      <c r="J496" s="101"/>
    </row>
    <row r="497" spans="3:10" ht="16.5">
      <c r="C497" s="101"/>
      <c r="D497" s="101"/>
      <c r="E497" s="101"/>
      <c r="F497" s="101"/>
      <c r="G497" s="101"/>
      <c r="H497" s="101"/>
      <c r="I497" s="101"/>
      <c r="J497" s="101"/>
    </row>
    <row r="498" spans="3:10" ht="16.5">
      <c r="C498" s="101"/>
      <c r="D498" s="101"/>
      <c r="E498" s="101"/>
      <c r="F498" s="101"/>
      <c r="G498" s="101"/>
      <c r="H498" s="101"/>
      <c r="I498" s="101"/>
      <c r="J498" s="101"/>
    </row>
    <row r="499" spans="3:10" ht="16.5">
      <c r="C499" s="101"/>
      <c r="D499" s="101"/>
      <c r="E499" s="101"/>
      <c r="F499" s="101"/>
      <c r="G499" s="101"/>
      <c r="H499" s="101"/>
      <c r="I499" s="101"/>
      <c r="J499" s="101"/>
    </row>
    <row r="500" spans="3:10" ht="16.5">
      <c r="C500" s="101"/>
      <c r="D500" s="101"/>
      <c r="E500" s="101"/>
      <c r="F500" s="101"/>
      <c r="G500" s="101"/>
      <c r="H500" s="101"/>
      <c r="I500" s="101"/>
      <c r="J500" s="101"/>
    </row>
    <row r="501" spans="3:10" ht="16.5">
      <c r="C501" s="101"/>
      <c r="D501" s="101"/>
      <c r="E501" s="101"/>
      <c r="F501" s="101"/>
      <c r="G501" s="101"/>
      <c r="H501" s="101"/>
      <c r="I501" s="101"/>
      <c r="J501" s="101"/>
    </row>
    <row r="502" spans="3:10" ht="16.5">
      <c r="C502" s="101"/>
      <c r="D502" s="101"/>
      <c r="E502" s="101"/>
      <c r="F502" s="101"/>
      <c r="G502" s="101"/>
      <c r="H502" s="101"/>
      <c r="I502" s="101"/>
      <c r="J502" s="101"/>
    </row>
    <row r="503" spans="3:10" ht="16.5">
      <c r="C503" s="101"/>
      <c r="D503" s="101"/>
      <c r="E503" s="101"/>
      <c r="F503" s="101"/>
      <c r="G503" s="101"/>
      <c r="H503" s="101"/>
      <c r="I503" s="101"/>
      <c r="J503" s="101"/>
    </row>
    <row r="504" spans="3:10" ht="16.5">
      <c r="C504" s="101"/>
      <c r="D504" s="101"/>
      <c r="E504" s="101"/>
      <c r="F504" s="101"/>
      <c r="G504" s="101"/>
      <c r="H504" s="101"/>
      <c r="I504" s="101"/>
      <c r="J504" s="101"/>
    </row>
    <row r="505" spans="3:10" ht="16.5">
      <c r="C505" s="101"/>
      <c r="D505" s="101"/>
      <c r="E505" s="101"/>
      <c r="F505" s="101"/>
      <c r="G505" s="101"/>
      <c r="H505" s="101"/>
      <c r="I505" s="101"/>
      <c r="J505" s="101"/>
    </row>
    <row r="506" spans="3:10" ht="16.5">
      <c r="C506" s="101"/>
      <c r="D506" s="101"/>
      <c r="E506" s="101"/>
      <c r="F506" s="101"/>
      <c r="G506" s="101"/>
      <c r="H506" s="101"/>
      <c r="I506" s="101"/>
      <c r="J506" s="101"/>
    </row>
    <row r="507" spans="3:10" ht="16.5">
      <c r="C507" s="101"/>
      <c r="D507" s="101"/>
      <c r="E507" s="101"/>
      <c r="F507" s="101"/>
      <c r="G507" s="101"/>
      <c r="H507" s="101"/>
      <c r="I507" s="101"/>
      <c r="J507" s="101"/>
    </row>
    <row r="508" spans="3:10" ht="16.5">
      <c r="C508" s="101"/>
      <c r="D508" s="101"/>
      <c r="E508" s="101"/>
      <c r="F508" s="101"/>
      <c r="G508" s="101"/>
      <c r="H508" s="101"/>
      <c r="I508" s="101"/>
      <c r="J508" s="101"/>
    </row>
    <row r="509" spans="3:10" ht="16.5">
      <c r="C509" s="101"/>
      <c r="D509" s="101"/>
      <c r="E509" s="101"/>
      <c r="F509" s="101"/>
      <c r="G509" s="101"/>
      <c r="H509" s="101"/>
      <c r="I509" s="101"/>
      <c r="J509" s="101"/>
    </row>
    <row r="510" spans="3:10" ht="16.5">
      <c r="C510" s="101"/>
      <c r="D510" s="101"/>
      <c r="E510" s="101"/>
      <c r="F510" s="101"/>
      <c r="G510" s="101"/>
      <c r="H510" s="101"/>
      <c r="I510" s="101"/>
      <c r="J510" s="101"/>
    </row>
    <row r="511" spans="3:10" ht="16.5">
      <c r="C511" s="101"/>
      <c r="D511" s="101"/>
      <c r="E511" s="101"/>
      <c r="F511" s="101"/>
      <c r="G511" s="101"/>
      <c r="H511" s="101"/>
      <c r="I511" s="101"/>
      <c r="J511" s="101"/>
    </row>
    <row r="512" spans="3:10" ht="16.5">
      <c r="C512" s="101"/>
      <c r="D512" s="101"/>
      <c r="E512" s="101"/>
      <c r="F512" s="101"/>
      <c r="G512" s="101"/>
      <c r="H512" s="101"/>
      <c r="I512" s="101"/>
      <c r="J512" s="101"/>
    </row>
    <row r="513" spans="3:10" ht="16.5">
      <c r="C513" s="101"/>
      <c r="D513" s="101"/>
      <c r="E513" s="101"/>
      <c r="F513" s="101"/>
      <c r="G513" s="101"/>
      <c r="H513" s="101"/>
      <c r="I513" s="101"/>
      <c r="J513" s="101"/>
    </row>
    <row r="514" spans="3:10" ht="16.5">
      <c r="C514" s="101"/>
      <c r="D514" s="101"/>
      <c r="E514" s="101"/>
      <c r="F514" s="101"/>
      <c r="G514" s="101"/>
      <c r="H514" s="101"/>
      <c r="I514" s="101"/>
      <c r="J514" s="101"/>
    </row>
    <row r="515" spans="3:10" ht="16.5">
      <c r="C515" s="101"/>
      <c r="D515" s="101"/>
      <c r="E515" s="101"/>
      <c r="F515" s="101"/>
      <c r="G515" s="101"/>
      <c r="H515" s="101"/>
      <c r="I515" s="101"/>
      <c r="J515" s="101"/>
    </row>
    <row r="516" spans="3:10" ht="16.5">
      <c r="C516" s="101"/>
      <c r="D516" s="101"/>
      <c r="E516" s="101"/>
      <c r="F516" s="101"/>
      <c r="G516" s="101"/>
      <c r="H516" s="101"/>
      <c r="I516" s="101"/>
      <c r="J516" s="101"/>
    </row>
    <row r="517" spans="3:10" ht="16.5">
      <c r="C517" s="101"/>
      <c r="D517" s="101"/>
      <c r="E517" s="101"/>
      <c r="F517" s="101"/>
      <c r="G517" s="101"/>
      <c r="H517" s="101"/>
      <c r="I517" s="101"/>
      <c r="J517" s="101"/>
    </row>
    <row r="518" spans="3:10" ht="16.5">
      <c r="C518" s="101"/>
      <c r="D518" s="101"/>
      <c r="E518" s="101"/>
      <c r="F518" s="101"/>
      <c r="G518" s="101"/>
      <c r="H518" s="101"/>
      <c r="I518" s="101"/>
      <c r="J518" s="101"/>
    </row>
    <row r="519" spans="3:10" ht="16.5">
      <c r="C519" s="101"/>
      <c r="D519" s="101"/>
      <c r="E519" s="101"/>
      <c r="F519" s="101"/>
      <c r="G519" s="101"/>
      <c r="H519" s="101"/>
      <c r="I519" s="101"/>
      <c r="J519" s="101"/>
    </row>
    <row r="520" spans="3:10" ht="16.5">
      <c r="C520" s="101"/>
      <c r="D520" s="101"/>
      <c r="E520" s="101"/>
      <c r="F520" s="101"/>
      <c r="G520" s="101"/>
      <c r="H520" s="101"/>
      <c r="I520" s="101"/>
      <c r="J520" s="101"/>
    </row>
    <row r="521" spans="3:10" ht="16.5">
      <c r="C521" s="101"/>
      <c r="D521" s="101"/>
      <c r="E521" s="101"/>
      <c r="F521" s="101"/>
      <c r="G521" s="101"/>
      <c r="H521" s="101"/>
      <c r="I521" s="101"/>
      <c r="J521" s="101"/>
    </row>
    <row r="522" spans="3:10" ht="16.5">
      <c r="C522" s="101"/>
      <c r="D522" s="101"/>
      <c r="E522" s="101"/>
      <c r="F522" s="101"/>
      <c r="G522" s="101"/>
      <c r="H522" s="101"/>
      <c r="I522" s="101"/>
      <c r="J522" s="101"/>
    </row>
    <row r="523" spans="3:10" ht="16.5">
      <c r="C523" s="101"/>
      <c r="D523" s="101"/>
      <c r="E523" s="101"/>
      <c r="F523" s="101"/>
      <c r="G523" s="101"/>
      <c r="H523" s="101"/>
      <c r="I523" s="101"/>
      <c r="J523" s="101"/>
    </row>
    <row r="524" spans="3:10" ht="16.5">
      <c r="C524" s="101"/>
      <c r="D524" s="101"/>
      <c r="E524" s="101"/>
      <c r="F524" s="101"/>
      <c r="G524" s="101"/>
      <c r="H524" s="101"/>
      <c r="I524" s="101"/>
      <c r="J524" s="101"/>
    </row>
    <row r="525" spans="3:10" ht="16.5">
      <c r="C525" s="101"/>
      <c r="D525" s="101"/>
      <c r="E525" s="101"/>
      <c r="F525" s="101"/>
      <c r="G525" s="101"/>
      <c r="H525" s="101"/>
      <c r="I525" s="101"/>
      <c r="J525" s="101"/>
    </row>
    <row r="526" spans="3:10" ht="16.5">
      <c r="C526" s="101"/>
      <c r="D526" s="101"/>
      <c r="E526" s="101"/>
      <c r="F526" s="101"/>
      <c r="G526" s="101"/>
      <c r="H526" s="101"/>
      <c r="I526" s="101"/>
      <c r="J526" s="101"/>
    </row>
    <row r="527" spans="3:10" ht="16.5">
      <c r="C527" s="101"/>
      <c r="D527" s="101"/>
      <c r="E527" s="101"/>
      <c r="F527" s="101"/>
      <c r="G527" s="101"/>
      <c r="H527" s="101"/>
      <c r="I527" s="101"/>
      <c r="J527" s="101"/>
    </row>
    <row r="528" spans="3:10" ht="16.5">
      <c r="C528" s="101"/>
      <c r="D528" s="101"/>
      <c r="E528" s="101"/>
      <c r="F528" s="101"/>
      <c r="G528" s="101"/>
      <c r="H528" s="101"/>
      <c r="I528" s="101"/>
      <c r="J528" s="101"/>
    </row>
    <row r="529" spans="3:10" ht="16.5">
      <c r="C529" s="101"/>
      <c r="D529" s="101"/>
      <c r="E529" s="101"/>
      <c r="F529" s="101"/>
      <c r="G529" s="101"/>
      <c r="H529" s="101"/>
      <c r="I529" s="101"/>
      <c r="J529" s="101"/>
    </row>
    <row r="530" spans="3:10" ht="16.5">
      <c r="C530" s="101"/>
      <c r="D530" s="101"/>
      <c r="E530" s="101"/>
      <c r="F530" s="101"/>
      <c r="G530" s="101"/>
      <c r="H530" s="101"/>
      <c r="I530" s="101"/>
      <c r="J530" s="101"/>
    </row>
    <row r="531" spans="3:10" ht="16.5">
      <c r="C531" s="101"/>
      <c r="D531" s="101"/>
      <c r="E531" s="101"/>
      <c r="F531" s="101"/>
      <c r="G531" s="101"/>
      <c r="H531" s="101"/>
      <c r="I531" s="101"/>
      <c r="J531" s="101"/>
    </row>
    <row r="532" spans="3:10" ht="16.5">
      <c r="C532" s="101"/>
      <c r="D532" s="101"/>
      <c r="E532" s="101"/>
      <c r="F532" s="101"/>
      <c r="G532" s="101"/>
      <c r="H532" s="101"/>
      <c r="I532" s="101"/>
      <c r="J532" s="101"/>
    </row>
    <row r="533" spans="3:10" ht="16.5">
      <c r="C533" s="101"/>
      <c r="D533" s="101"/>
      <c r="E533" s="101"/>
      <c r="F533" s="101"/>
      <c r="G533" s="101"/>
      <c r="H533" s="101"/>
      <c r="I533" s="101"/>
      <c r="J533" s="101"/>
    </row>
    <row r="534" spans="3:10" ht="16.5">
      <c r="C534" s="101"/>
      <c r="D534" s="101"/>
      <c r="E534" s="101"/>
      <c r="F534" s="101"/>
      <c r="G534" s="101"/>
      <c r="H534" s="101"/>
      <c r="I534" s="101"/>
      <c r="J534" s="101"/>
    </row>
    <row r="535" spans="3:10" ht="16.5">
      <c r="C535" s="101"/>
      <c r="D535" s="101"/>
      <c r="E535" s="101"/>
      <c r="F535" s="101"/>
      <c r="G535" s="101"/>
      <c r="H535" s="101"/>
      <c r="I535" s="101"/>
      <c r="J535" s="101"/>
    </row>
    <row r="536" spans="3:10" ht="16.5">
      <c r="C536" s="101"/>
      <c r="D536" s="101"/>
      <c r="E536" s="101"/>
      <c r="F536" s="101"/>
      <c r="G536" s="101"/>
      <c r="H536" s="101"/>
      <c r="I536" s="101"/>
      <c r="J536" s="101"/>
    </row>
    <row r="537" spans="3:10" ht="16.5">
      <c r="C537" s="101"/>
      <c r="D537" s="101"/>
      <c r="E537" s="101"/>
      <c r="F537" s="101"/>
      <c r="G537" s="101"/>
      <c r="H537" s="101"/>
      <c r="I537" s="101"/>
      <c r="J537" s="101"/>
    </row>
    <row r="538" spans="3:10" ht="16.5">
      <c r="C538" s="101"/>
      <c r="D538" s="101"/>
      <c r="E538" s="101"/>
      <c r="F538" s="101"/>
      <c r="G538" s="101"/>
      <c r="H538" s="101"/>
      <c r="I538" s="101"/>
      <c r="J538" s="101"/>
    </row>
    <row r="539" spans="3:10" ht="16.5">
      <c r="C539" s="101"/>
      <c r="D539" s="101"/>
      <c r="E539" s="101"/>
      <c r="F539" s="101"/>
      <c r="G539" s="101"/>
      <c r="H539" s="101"/>
      <c r="I539" s="101"/>
      <c r="J539" s="101"/>
    </row>
    <row r="540" spans="3:10" ht="16.5">
      <c r="C540" s="101"/>
      <c r="D540" s="101"/>
      <c r="E540" s="101"/>
      <c r="F540" s="101"/>
      <c r="G540" s="101"/>
      <c r="H540" s="101"/>
      <c r="I540" s="101"/>
      <c r="J540" s="101"/>
    </row>
    <row r="541" spans="3:10" ht="16.5">
      <c r="C541" s="101"/>
      <c r="D541" s="101"/>
      <c r="E541" s="101"/>
      <c r="F541" s="101"/>
      <c r="G541" s="101"/>
      <c r="H541" s="101"/>
      <c r="I541" s="101"/>
      <c r="J541" s="101"/>
    </row>
    <row r="542" spans="3:10" ht="16.5">
      <c r="C542" s="101"/>
      <c r="D542" s="101"/>
      <c r="E542" s="101"/>
      <c r="F542" s="101"/>
      <c r="G542" s="101"/>
      <c r="H542" s="101"/>
      <c r="I542" s="101"/>
      <c r="J542" s="101"/>
    </row>
    <row r="543" spans="3:10" ht="16.5">
      <c r="C543" s="101"/>
      <c r="D543" s="101"/>
      <c r="E543" s="101"/>
      <c r="F543" s="101"/>
      <c r="G543" s="101"/>
      <c r="H543" s="101"/>
      <c r="I543" s="101"/>
      <c r="J543" s="101"/>
    </row>
    <row r="544" spans="3:10" ht="16.5">
      <c r="C544" s="101"/>
      <c r="D544" s="101"/>
      <c r="E544" s="101"/>
      <c r="F544" s="101"/>
      <c r="G544" s="101"/>
      <c r="H544" s="101"/>
      <c r="I544" s="101"/>
      <c r="J544" s="101"/>
    </row>
    <row r="545" spans="3:10" ht="16.5">
      <c r="C545" s="101"/>
      <c r="D545" s="101"/>
      <c r="E545" s="101"/>
      <c r="F545" s="101"/>
      <c r="G545" s="101"/>
      <c r="H545" s="101"/>
      <c r="I545" s="101"/>
      <c r="J545" s="101"/>
    </row>
    <row r="546" spans="3:10" ht="16.5">
      <c r="C546" s="101"/>
      <c r="D546" s="101"/>
      <c r="E546" s="101"/>
      <c r="F546" s="101"/>
      <c r="G546" s="101"/>
      <c r="H546" s="101"/>
      <c r="I546" s="101"/>
      <c r="J546" s="101"/>
    </row>
    <row r="547" spans="3:10" ht="16.5">
      <c r="C547" s="101"/>
      <c r="D547" s="101"/>
      <c r="E547" s="101"/>
      <c r="F547" s="101"/>
      <c r="G547" s="101"/>
      <c r="H547" s="101"/>
      <c r="I547" s="101"/>
      <c r="J547" s="101"/>
    </row>
    <row r="548" spans="3:10" ht="16.5">
      <c r="C548" s="101"/>
      <c r="D548" s="101"/>
      <c r="E548" s="101"/>
      <c r="F548" s="101"/>
      <c r="G548" s="101"/>
      <c r="H548" s="101"/>
      <c r="I548" s="101"/>
      <c r="J548" s="101"/>
    </row>
    <row r="549" spans="3:10" ht="16.5">
      <c r="C549" s="101"/>
      <c r="D549" s="101"/>
      <c r="E549" s="101"/>
      <c r="F549" s="101"/>
      <c r="G549" s="101"/>
      <c r="H549" s="101"/>
      <c r="I549" s="101"/>
      <c r="J549" s="101"/>
    </row>
    <row r="550" spans="3:10" ht="16.5">
      <c r="C550" s="101"/>
      <c r="D550" s="101"/>
      <c r="E550" s="101"/>
      <c r="F550" s="101"/>
      <c r="G550" s="101"/>
      <c r="H550" s="101"/>
      <c r="I550" s="101"/>
      <c r="J550" s="101"/>
    </row>
    <row r="551" spans="3:10" ht="16.5">
      <c r="C551" s="101"/>
      <c r="D551" s="101"/>
      <c r="E551" s="101"/>
      <c r="F551" s="101"/>
      <c r="G551" s="101"/>
      <c r="H551" s="101"/>
      <c r="I551" s="101"/>
      <c r="J551" s="101"/>
    </row>
    <row r="552" spans="3:10" ht="16.5">
      <c r="C552" s="101"/>
      <c r="D552" s="101"/>
      <c r="E552" s="101"/>
      <c r="F552" s="101"/>
      <c r="G552" s="101"/>
      <c r="H552" s="101"/>
      <c r="I552" s="101"/>
      <c r="J552" s="101"/>
    </row>
    <row r="553" spans="3:10" ht="16.5">
      <c r="C553" s="101"/>
      <c r="D553" s="101"/>
      <c r="E553" s="101"/>
      <c r="F553" s="101"/>
      <c r="G553" s="101"/>
      <c r="H553" s="101"/>
      <c r="I553" s="101"/>
      <c r="J553" s="101"/>
    </row>
    <row r="554" spans="3:10" ht="16.5">
      <c r="C554" s="101"/>
      <c r="D554" s="101"/>
      <c r="E554" s="101"/>
      <c r="F554" s="101"/>
      <c r="G554" s="101"/>
      <c r="H554" s="101"/>
      <c r="I554" s="101"/>
      <c r="J554" s="101"/>
    </row>
    <row r="555" spans="3:10" ht="16.5">
      <c r="C555" s="101"/>
      <c r="D555" s="101"/>
      <c r="E555" s="101"/>
      <c r="F555" s="101"/>
      <c r="G555" s="101"/>
      <c r="H555" s="101"/>
      <c r="I555" s="101"/>
      <c r="J555" s="101"/>
    </row>
    <row r="556" spans="3:10" ht="16.5">
      <c r="C556" s="101"/>
      <c r="D556" s="101"/>
      <c r="E556" s="101"/>
      <c r="F556" s="101"/>
      <c r="G556" s="101"/>
      <c r="H556" s="101"/>
      <c r="I556" s="101"/>
      <c r="J556" s="101"/>
    </row>
    <row r="557" spans="3:10" ht="16.5">
      <c r="C557" s="101"/>
      <c r="D557" s="101"/>
      <c r="E557" s="101"/>
      <c r="F557" s="101"/>
      <c r="G557" s="101"/>
      <c r="H557" s="101"/>
      <c r="I557" s="101"/>
      <c r="J557" s="101"/>
    </row>
    <row r="558" spans="3:10" ht="16.5">
      <c r="C558" s="101"/>
      <c r="D558" s="101"/>
      <c r="E558" s="101"/>
      <c r="F558" s="101"/>
      <c r="G558" s="101"/>
      <c r="H558" s="101"/>
      <c r="I558" s="101"/>
      <c r="J558" s="101"/>
    </row>
    <row r="559" spans="3:10" ht="16.5">
      <c r="C559" s="101"/>
      <c r="D559" s="101"/>
      <c r="E559" s="101"/>
      <c r="F559" s="101"/>
      <c r="G559" s="101"/>
      <c r="H559" s="101"/>
      <c r="I559" s="101"/>
      <c r="J559" s="101"/>
    </row>
    <row r="560" spans="3:10" ht="16.5">
      <c r="C560" s="101"/>
      <c r="D560" s="101"/>
      <c r="E560" s="101"/>
      <c r="F560" s="101"/>
      <c r="G560" s="101"/>
      <c r="H560" s="101"/>
      <c r="I560" s="101"/>
      <c r="J560" s="101"/>
    </row>
    <row r="561" spans="3:10" ht="16.5">
      <c r="C561" s="101"/>
      <c r="D561" s="101"/>
      <c r="E561" s="101"/>
      <c r="F561" s="101"/>
      <c r="G561" s="101"/>
      <c r="H561" s="101"/>
      <c r="I561" s="101"/>
      <c r="J561" s="101"/>
    </row>
    <row r="562" spans="3:10" ht="16.5">
      <c r="C562" s="101"/>
      <c r="D562" s="101"/>
      <c r="E562" s="101"/>
      <c r="F562" s="101"/>
      <c r="G562" s="101"/>
      <c r="H562" s="101"/>
      <c r="I562" s="101"/>
      <c r="J562" s="101"/>
    </row>
    <row r="563" spans="3:10" ht="16.5">
      <c r="C563" s="101"/>
      <c r="D563" s="101"/>
      <c r="E563" s="101"/>
      <c r="F563" s="101"/>
      <c r="G563" s="101"/>
      <c r="H563" s="101"/>
      <c r="I563" s="101"/>
      <c r="J563" s="101"/>
    </row>
    <row r="564" spans="3:10" ht="16.5">
      <c r="C564" s="101"/>
      <c r="D564" s="101"/>
      <c r="E564" s="101"/>
      <c r="F564" s="101"/>
      <c r="G564" s="101"/>
      <c r="H564" s="101"/>
      <c r="I564" s="101"/>
      <c r="J564" s="101"/>
    </row>
    <row r="565" spans="3:10" ht="16.5">
      <c r="C565" s="101"/>
      <c r="D565" s="101"/>
      <c r="E565" s="101"/>
      <c r="F565" s="101"/>
      <c r="G565" s="101"/>
      <c r="H565" s="101"/>
      <c r="I565" s="101"/>
      <c r="J565" s="101"/>
    </row>
    <row r="566" spans="3:10" ht="16.5">
      <c r="C566" s="101"/>
      <c r="D566" s="101"/>
      <c r="E566" s="101"/>
      <c r="F566" s="101"/>
      <c r="G566" s="101"/>
      <c r="H566" s="101"/>
      <c r="I566" s="101"/>
      <c r="J566" s="101"/>
    </row>
    <row r="567" spans="3:10" ht="16.5">
      <c r="C567" s="101"/>
      <c r="D567" s="101"/>
      <c r="E567" s="101"/>
      <c r="F567" s="101"/>
      <c r="G567" s="101"/>
      <c r="H567" s="101"/>
      <c r="I567" s="101"/>
      <c r="J567" s="101"/>
    </row>
    <row r="568" spans="3:10" ht="16.5">
      <c r="C568" s="101"/>
      <c r="D568" s="101"/>
      <c r="E568" s="101"/>
      <c r="F568" s="101"/>
      <c r="G568" s="101"/>
      <c r="H568" s="101"/>
      <c r="I568" s="101"/>
      <c r="J568" s="101"/>
    </row>
    <row r="569" spans="3:10" ht="16.5">
      <c r="C569" s="101"/>
      <c r="D569" s="101"/>
      <c r="E569" s="101"/>
      <c r="F569" s="101"/>
      <c r="G569" s="101"/>
      <c r="H569" s="101"/>
      <c r="I569" s="101"/>
      <c r="J569" s="101"/>
    </row>
    <row r="570" spans="3:10" ht="16.5">
      <c r="C570" s="101"/>
      <c r="D570" s="101"/>
      <c r="E570" s="101"/>
      <c r="F570" s="101"/>
      <c r="G570" s="101"/>
      <c r="H570" s="101"/>
      <c r="I570" s="101"/>
      <c r="J570" s="101"/>
    </row>
    <row r="571" spans="3:10" ht="16.5">
      <c r="C571" s="101"/>
      <c r="D571" s="101"/>
      <c r="E571" s="101"/>
      <c r="F571" s="101"/>
      <c r="G571" s="101"/>
      <c r="H571" s="101"/>
      <c r="I571" s="101"/>
      <c r="J571" s="101"/>
    </row>
    <row r="572" spans="3:10" ht="16.5">
      <c r="C572" s="101"/>
      <c r="D572" s="101"/>
      <c r="E572" s="101"/>
      <c r="F572" s="101"/>
      <c r="G572" s="101"/>
      <c r="H572" s="101"/>
      <c r="I572" s="101"/>
      <c r="J572" s="101"/>
    </row>
    <row r="573" spans="3:10" ht="16.5">
      <c r="C573" s="101"/>
      <c r="D573" s="101"/>
      <c r="E573" s="101"/>
      <c r="F573" s="101"/>
      <c r="G573" s="101"/>
      <c r="H573" s="101"/>
      <c r="I573" s="101"/>
      <c r="J573" s="101"/>
    </row>
    <row r="574" spans="3:10" ht="16.5">
      <c r="C574" s="101"/>
      <c r="D574" s="101"/>
      <c r="E574" s="101"/>
      <c r="F574" s="101"/>
      <c r="G574" s="101"/>
      <c r="H574" s="101"/>
      <c r="I574" s="101"/>
      <c r="J574" s="101"/>
    </row>
    <row r="575" spans="3:10" ht="16.5">
      <c r="C575" s="101"/>
      <c r="D575" s="101"/>
      <c r="E575" s="101"/>
      <c r="F575" s="101"/>
      <c r="G575" s="101"/>
      <c r="H575" s="101"/>
      <c r="I575" s="101"/>
      <c r="J575" s="101"/>
    </row>
    <row r="576" spans="3:10" ht="16.5">
      <c r="C576" s="101"/>
      <c r="D576" s="101"/>
      <c r="E576" s="101"/>
      <c r="F576" s="101"/>
      <c r="G576" s="101"/>
      <c r="H576" s="101"/>
      <c r="I576" s="101"/>
      <c r="J576" s="101"/>
    </row>
    <row r="577" spans="3:10" ht="16.5">
      <c r="C577" s="101"/>
      <c r="D577" s="101"/>
      <c r="E577" s="101"/>
      <c r="F577" s="101"/>
      <c r="G577" s="101"/>
      <c r="H577" s="101"/>
      <c r="I577" s="101"/>
      <c r="J577" s="101"/>
    </row>
    <row r="578" spans="3:10" ht="16.5">
      <c r="C578" s="101"/>
      <c r="D578" s="101"/>
      <c r="E578" s="101"/>
      <c r="F578" s="101"/>
      <c r="G578" s="101"/>
      <c r="H578" s="101"/>
      <c r="I578" s="101"/>
      <c r="J578" s="101"/>
    </row>
    <row r="579" spans="3:10" ht="16.5">
      <c r="C579" s="101"/>
      <c r="D579" s="101"/>
      <c r="E579" s="101"/>
      <c r="F579" s="101"/>
      <c r="G579" s="101"/>
      <c r="H579" s="101"/>
      <c r="I579" s="101"/>
      <c r="J579" s="101"/>
    </row>
    <row r="580" spans="3:10" ht="16.5">
      <c r="C580" s="101"/>
      <c r="D580" s="101"/>
      <c r="E580" s="101"/>
      <c r="F580" s="101"/>
      <c r="G580" s="101"/>
      <c r="H580" s="101"/>
      <c r="I580" s="101"/>
      <c r="J580" s="101"/>
    </row>
    <row r="581" spans="3:10" ht="16.5">
      <c r="C581" s="101"/>
      <c r="D581" s="101"/>
      <c r="E581" s="101"/>
      <c r="F581" s="101"/>
      <c r="G581" s="101"/>
      <c r="H581" s="101"/>
      <c r="I581" s="101"/>
      <c r="J581" s="101"/>
    </row>
    <row r="582" spans="3:10" ht="16.5">
      <c r="C582" s="101"/>
      <c r="D582" s="101"/>
      <c r="E582" s="101"/>
      <c r="F582" s="101"/>
      <c r="G582" s="101"/>
      <c r="H582" s="101"/>
      <c r="I582" s="101"/>
      <c r="J582" s="101"/>
    </row>
    <row r="583" spans="3:10" ht="16.5">
      <c r="C583" s="101"/>
      <c r="D583" s="101"/>
      <c r="E583" s="101"/>
      <c r="F583" s="101"/>
      <c r="G583" s="101"/>
      <c r="H583" s="101"/>
      <c r="I583" s="101"/>
      <c r="J583" s="101"/>
    </row>
    <row r="584" spans="3:10" ht="16.5">
      <c r="C584" s="101"/>
      <c r="D584" s="101"/>
      <c r="E584" s="101"/>
      <c r="F584" s="101"/>
      <c r="G584" s="101"/>
      <c r="H584" s="101"/>
      <c r="I584" s="101"/>
      <c r="J584" s="101"/>
    </row>
    <row r="585" spans="3:10" ht="16.5">
      <c r="C585" s="101"/>
      <c r="D585" s="101"/>
      <c r="E585" s="101"/>
      <c r="F585" s="101"/>
      <c r="G585" s="101"/>
      <c r="H585" s="101"/>
      <c r="I585" s="101"/>
      <c r="J585" s="101"/>
    </row>
    <row r="586" spans="3:10" ht="16.5">
      <c r="C586" s="101"/>
      <c r="D586" s="101"/>
      <c r="E586" s="101"/>
      <c r="F586" s="101"/>
      <c r="G586" s="101"/>
      <c r="H586" s="101"/>
      <c r="I586" s="101"/>
      <c r="J586" s="101"/>
    </row>
    <row r="587" spans="3:10" ht="16.5">
      <c r="C587" s="101"/>
      <c r="D587" s="101"/>
      <c r="E587" s="101"/>
      <c r="F587" s="101"/>
      <c r="G587" s="101"/>
      <c r="H587" s="101"/>
      <c r="I587" s="101"/>
      <c r="J587" s="101"/>
    </row>
    <row r="588" spans="3:10" ht="16.5">
      <c r="C588" s="101"/>
      <c r="D588" s="101"/>
      <c r="E588" s="101"/>
      <c r="F588" s="101"/>
      <c r="G588" s="101"/>
      <c r="H588" s="101"/>
      <c r="I588" s="101"/>
      <c r="J588" s="101"/>
    </row>
    <row r="589" spans="3:10" ht="16.5">
      <c r="C589" s="101"/>
      <c r="D589" s="101"/>
      <c r="E589" s="101"/>
      <c r="F589" s="101"/>
      <c r="G589" s="101"/>
      <c r="H589" s="101"/>
      <c r="I589" s="101"/>
      <c r="J589" s="101"/>
    </row>
    <row r="590" spans="3:10" ht="16.5">
      <c r="C590" s="101"/>
      <c r="D590" s="101"/>
      <c r="E590" s="101"/>
      <c r="F590" s="101"/>
      <c r="G590" s="101"/>
      <c r="H590" s="101"/>
      <c r="I590" s="101"/>
      <c r="J590" s="101"/>
    </row>
    <row r="591" spans="3:10" ht="16.5">
      <c r="C591" s="101"/>
      <c r="D591" s="101"/>
      <c r="E591" s="101"/>
      <c r="F591" s="101"/>
      <c r="G591" s="101"/>
      <c r="H591" s="101"/>
      <c r="I591" s="101"/>
      <c r="J591" s="101"/>
    </row>
    <row r="592" spans="3:10" ht="16.5">
      <c r="C592" s="101"/>
      <c r="D592" s="101"/>
      <c r="E592" s="101"/>
      <c r="F592" s="101"/>
      <c r="G592" s="101"/>
      <c r="H592" s="101"/>
      <c r="I592" s="101"/>
      <c r="J592" s="101"/>
    </row>
    <row r="593" spans="3:10" ht="16.5">
      <c r="C593" s="101"/>
      <c r="D593" s="101"/>
      <c r="E593" s="101"/>
      <c r="F593" s="101"/>
      <c r="G593" s="101"/>
      <c r="H593" s="101"/>
      <c r="I593" s="101"/>
      <c r="J593" s="101"/>
    </row>
    <row r="594" spans="3:10" ht="16.5">
      <c r="C594" s="101"/>
      <c r="D594" s="101"/>
      <c r="E594" s="101"/>
      <c r="F594" s="101"/>
      <c r="G594" s="101"/>
      <c r="H594" s="101"/>
      <c r="I594" s="101"/>
      <c r="J594" s="101"/>
    </row>
    <row r="595" spans="3:10" ht="16.5">
      <c r="C595" s="101"/>
      <c r="D595" s="101"/>
      <c r="E595" s="101"/>
      <c r="F595" s="101"/>
      <c r="G595" s="101"/>
      <c r="H595" s="101"/>
      <c r="I595" s="101"/>
      <c r="J595" s="101"/>
    </row>
    <row r="596" spans="3:10" ht="16.5">
      <c r="C596" s="101"/>
      <c r="D596" s="101"/>
      <c r="E596" s="101"/>
      <c r="F596" s="101"/>
      <c r="G596" s="101"/>
      <c r="H596" s="101"/>
      <c r="I596" s="101"/>
      <c r="J596" s="101"/>
    </row>
    <row r="597" spans="3:10" ht="16.5">
      <c r="C597" s="101"/>
      <c r="D597" s="101"/>
      <c r="E597" s="101"/>
      <c r="F597" s="101"/>
      <c r="G597" s="101"/>
      <c r="H597" s="101"/>
      <c r="I597" s="101"/>
      <c r="J597" s="101"/>
    </row>
    <row r="598" spans="3:10" ht="16.5">
      <c r="C598" s="101"/>
      <c r="D598" s="101"/>
      <c r="E598" s="101"/>
      <c r="F598" s="101"/>
      <c r="G598" s="101"/>
      <c r="H598" s="101"/>
      <c r="I598" s="101"/>
      <c r="J598" s="101"/>
    </row>
    <row r="599" spans="3:10" ht="16.5">
      <c r="C599" s="101"/>
      <c r="D599" s="101"/>
      <c r="E599" s="101"/>
      <c r="F599" s="101"/>
      <c r="G599" s="101"/>
      <c r="H599" s="101"/>
      <c r="I599" s="101"/>
      <c r="J599" s="101"/>
    </row>
    <row r="600" spans="3:10" ht="16.5">
      <c r="C600" s="101"/>
      <c r="D600" s="101"/>
      <c r="E600" s="101"/>
      <c r="F600" s="101"/>
      <c r="G600" s="101"/>
      <c r="H600" s="101"/>
      <c r="I600" s="101"/>
      <c r="J600" s="101"/>
    </row>
    <row r="601" spans="3:10" ht="16.5">
      <c r="C601" s="101"/>
      <c r="D601" s="101"/>
      <c r="E601" s="101"/>
      <c r="F601" s="101"/>
      <c r="G601" s="101"/>
      <c r="H601" s="101"/>
      <c r="I601" s="101"/>
      <c r="J601" s="101"/>
    </row>
    <row r="602" spans="3:10" ht="16.5">
      <c r="C602" s="101"/>
      <c r="D602" s="101"/>
      <c r="E602" s="101"/>
      <c r="F602" s="101"/>
      <c r="G602" s="101"/>
      <c r="H602" s="101"/>
      <c r="I602" s="101"/>
      <c r="J602" s="101"/>
    </row>
    <row r="603" spans="3:10" ht="16.5">
      <c r="C603" s="101"/>
      <c r="D603" s="101"/>
      <c r="E603" s="101"/>
      <c r="F603" s="101"/>
      <c r="G603" s="101"/>
      <c r="H603" s="101"/>
      <c r="I603" s="101"/>
      <c r="J603" s="101"/>
    </row>
    <row r="604" spans="3:10" ht="16.5">
      <c r="C604" s="101"/>
      <c r="D604" s="101"/>
      <c r="E604" s="101"/>
      <c r="F604" s="101"/>
      <c r="G604" s="101"/>
      <c r="H604" s="101"/>
      <c r="I604" s="101"/>
      <c r="J604" s="101"/>
    </row>
    <row r="605" spans="3:10" ht="16.5">
      <c r="C605" s="101"/>
      <c r="D605" s="101"/>
      <c r="E605" s="101"/>
      <c r="F605" s="101"/>
      <c r="G605" s="101"/>
      <c r="H605" s="101"/>
      <c r="I605" s="101"/>
      <c r="J605" s="101"/>
    </row>
    <row r="606" spans="3:10" ht="16.5">
      <c r="C606" s="101"/>
      <c r="D606" s="101"/>
      <c r="E606" s="101"/>
      <c r="F606" s="101"/>
      <c r="G606" s="101"/>
      <c r="H606" s="101"/>
      <c r="I606" s="101"/>
      <c r="J606" s="101"/>
    </row>
    <row r="607" spans="3:10" ht="16.5">
      <c r="C607" s="101"/>
      <c r="D607" s="101"/>
      <c r="E607" s="101"/>
      <c r="F607" s="101"/>
      <c r="G607" s="101"/>
      <c r="H607" s="101"/>
      <c r="I607" s="101"/>
      <c r="J607" s="101"/>
    </row>
    <row r="608" spans="3:10" ht="16.5">
      <c r="C608" s="101"/>
      <c r="D608" s="101"/>
      <c r="E608" s="101"/>
      <c r="F608" s="101"/>
      <c r="G608" s="101"/>
      <c r="H608" s="101"/>
      <c r="I608" s="101"/>
      <c r="J608" s="101"/>
    </row>
    <row r="609" spans="3:10" ht="16.5">
      <c r="C609" s="101"/>
      <c r="D609" s="101"/>
      <c r="E609" s="101"/>
      <c r="F609" s="101"/>
      <c r="G609" s="101"/>
      <c r="H609" s="101"/>
      <c r="I609" s="101"/>
      <c r="J609" s="101"/>
    </row>
    <row r="610" spans="3:10" ht="16.5">
      <c r="C610" s="101"/>
      <c r="D610" s="101"/>
      <c r="E610" s="101"/>
      <c r="F610" s="101"/>
      <c r="G610" s="101"/>
      <c r="H610" s="101"/>
      <c r="I610" s="101"/>
      <c r="J610" s="101"/>
    </row>
    <row r="611" spans="3:10" ht="16.5">
      <c r="C611" s="101"/>
      <c r="D611" s="101"/>
      <c r="E611" s="101"/>
      <c r="F611" s="101"/>
      <c r="G611" s="101"/>
      <c r="H611" s="101"/>
      <c r="I611" s="101"/>
      <c r="J611" s="101"/>
    </row>
    <row r="612" spans="3:10" ht="16.5">
      <c r="C612" s="101"/>
      <c r="D612" s="101"/>
      <c r="E612" s="101"/>
      <c r="F612" s="101"/>
      <c r="G612" s="101"/>
      <c r="H612" s="101"/>
      <c r="I612" s="101"/>
      <c r="J612" s="101"/>
    </row>
    <row r="613" spans="3:10" ht="16.5">
      <c r="C613" s="101"/>
      <c r="D613" s="101"/>
      <c r="E613" s="101"/>
      <c r="F613" s="101"/>
      <c r="G613" s="101"/>
      <c r="H613" s="101"/>
      <c r="I613" s="101"/>
      <c r="J613" s="101"/>
    </row>
    <row r="614" spans="3:10" ht="16.5">
      <c r="C614" s="101"/>
      <c r="D614" s="101"/>
      <c r="E614" s="101"/>
      <c r="F614" s="101"/>
      <c r="G614" s="101"/>
      <c r="H614" s="101"/>
      <c r="I614" s="101"/>
      <c r="J614" s="101"/>
    </row>
    <row r="615" spans="3:10" ht="16.5">
      <c r="C615" s="101"/>
      <c r="D615" s="101"/>
      <c r="E615" s="101"/>
      <c r="F615" s="101"/>
      <c r="G615" s="101"/>
      <c r="H615" s="101"/>
      <c r="I615" s="101"/>
      <c r="J615" s="101"/>
    </row>
    <row r="616" spans="3:10" ht="16.5">
      <c r="C616" s="101"/>
      <c r="D616" s="101"/>
      <c r="E616" s="101"/>
      <c r="F616" s="101"/>
      <c r="G616" s="101"/>
      <c r="H616" s="101"/>
      <c r="I616" s="101"/>
      <c r="J616" s="101"/>
    </row>
    <row r="617" spans="3:10" ht="16.5">
      <c r="C617" s="101"/>
      <c r="D617" s="101"/>
      <c r="E617" s="101"/>
      <c r="F617" s="101"/>
      <c r="G617" s="101"/>
      <c r="H617" s="101"/>
      <c r="I617" s="101"/>
      <c r="J617" s="101"/>
    </row>
    <row r="618" spans="3:10" ht="16.5">
      <c r="C618" s="101"/>
      <c r="D618" s="101"/>
      <c r="E618" s="101"/>
      <c r="F618" s="101"/>
      <c r="G618" s="101"/>
      <c r="H618" s="101"/>
      <c r="I618" s="101"/>
      <c r="J618" s="101"/>
    </row>
    <row r="619" spans="3:10" ht="16.5">
      <c r="C619" s="101"/>
      <c r="D619" s="101"/>
      <c r="E619" s="101"/>
      <c r="F619" s="101"/>
      <c r="G619" s="101"/>
      <c r="H619" s="101"/>
      <c r="I619" s="101"/>
      <c r="J619" s="101"/>
    </row>
    <row r="620" spans="3:10" ht="16.5">
      <c r="C620" s="101"/>
      <c r="D620" s="101"/>
      <c r="E620" s="101"/>
      <c r="F620" s="101"/>
      <c r="G620" s="101"/>
      <c r="H620" s="101"/>
      <c r="I620" s="101"/>
      <c r="J620" s="101"/>
    </row>
    <row r="621" spans="3:10" ht="16.5">
      <c r="C621" s="101"/>
      <c r="D621" s="101"/>
      <c r="E621" s="101"/>
      <c r="F621" s="101"/>
      <c r="G621" s="101"/>
      <c r="H621" s="101"/>
      <c r="I621" s="101"/>
      <c r="J621" s="101"/>
    </row>
    <row r="622" spans="3:10" ht="16.5">
      <c r="C622" s="101"/>
      <c r="D622" s="101"/>
      <c r="E622" s="101"/>
      <c r="F622" s="101"/>
      <c r="G622" s="101"/>
      <c r="H622" s="101"/>
      <c r="I622" s="101"/>
      <c r="J622" s="101"/>
    </row>
    <row r="623" spans="3:10" ht="16.5">
      <c r="C623" s="101"/>
      <c r="D623" s="101"/>
      <c r="E623" s="101"/>
      <c r="F623" s="101"/>
      <c r="G623" s="101"/>
      <c r="H623" s="101"/>
      <c r="I623" s="101"/>
      <c r="J623" s="101"/>
    </row>
    <row r="624" spans="3:10" ht="16.5">
      <c r="C624" s="101"/>
      <c r="D624" s="101"/>
      <c r="E624" s="101"/>
      <c r="F624" s="101"/>
      <c r="G624" s="101"/>
      <c r="H624" s="101"/>
      <c r="I624" s="101"/>
      <c r="J624" s="101"/>
    </row>
    <row r="625" spans="3:10" ht="16.5">
      <c r="C625" s="101"/>
      <c r="D625" s="101"/>
      <c r="E625" s="101"/>
      <c r="F625" s="101"/>
      <c r="G625" s="101"/>
      <c r="H625" s="101"/>
      <c r="I625" s="101"/>
      <c r="J625" s="101"/>
    </row>
    <row r="626" spans="3:10" ht="16.5">
      <c r="C626" s="101"/>
      <c r="D626" s="101"/>
      <c r="E626" s="101"/>
      <c r="F626" s="101"/>
      <c r="G626" s="101"/>
      <c r="H626" s="101"/>
      <c r="I626" s="101"/>
      <c r="J626" s="101"/>
    </row>
    <row r="627" spans="3:10" ht="16.5">
      <c r="C627" s="101"/>
      <c r="D627" s="101"/>
      <c r="E627" s="101"/>
      <c r="F627" s="101"/>
      <c r="G627" s="101"/>
      <c r="H627" s="101"/>
      <c r="I627" s="101"/>
      <c r="J627" s="101"/>
    </row>
    <row r="628" spans="3:10" ht="16.5">
      <c r="C628" s="101"/>
      <c r="D628" s="101"/>
      <c r="E628" s="101"/>
      <c r="F628" s="101"/>
      <c r="G628" s="101"/>
      <c r="H628" s="101"/>
      <c r="I628" s="101"/>
      <c r="J628" s="101"/>
    </row>
    <row r="629" spans="3:10" ht="16.5">
      <c r="C629" s="101"/>
      <c r="D629" s="101"/>
      <c r="E629" s="101"/>
      <c r="F629" s="101"/>
      <c r="G629" s="101"/>
      <c r="H629" s="101"/>
      <c r="I629" s="101"/>
      <c r="J629" s="101"/>
    </row>
    <row r="630" spans="3:10" ht="16.5">
      <c r="C630" s="101"/>
      <c r="D630" s="101"/>
      <c r="E630" s="101"/>
      <c r="F630" s="101"/>
      <c r="G630" s="101"/>
      <c r="H630" s="101"/>
      <c r="I630" s="101"/>
      <c r="J630" s="101"/>
    </row>
    <row r="631" spans="3:10" ht="16.5">
      <c r="C631" s="101"/>
      <c r="D631" s="101"/>
      <c r="E631" s="101"/>
      <c r="F631" s="101"/>
      <c r="G631" s="101"/>
      <c r="H631" s="101"/>
      <c r="I631" s="101"/>
      <c r="J631" s="101"/>
    </row>
    <row r="632" spans="3:10" ht="16.5">
      <c r="C632" s="101"/>
      <c r="D632" s="101"/>
      <c r="E632" s="101"/>
      <c r="F632" s="101"/>
      <c r="G632" s="101"/>
      <c r="H632" s="101"/>
      <c r="I632" s="101"/>
      <c r="J632" s="101"/>
    </row>
    <row r="633" spans="3:10" ht="16.5">
      <c r="C633" s="101"/>
      <c r="D633" s="101"/>
      <c r="E633" s="101"/>
      <c r="F633" s="101"/>
      <c r="G633" s="101"/>
      <c r="H633" s="101"/>
      <c r="I633" s="101"/>
      <c r="J633" s="101"/>
    </row>
    <row r="634" spans="3:10" ht="16.5">
      <c r="C634" s="101"/>
      <c r="D634" s="101"/>
      <c r="E634" s="101"/>
      <c r="F634" s="101"/>
      <c r="G634" s="101"/>
      <c r="H634" s="101"/>
      <c r="I634" s="101"/>
      <c r="J634" s="101"/>
    </row>
    <row r="635" spans="3:10" ht="16.5">
      <c r="C635" s="101"/>
      <c r="D635" s="101"/>
      <c r="E635" s="101"/>
      <c r="F635" s="101"/>
      <c r="G635" s="101"/>
      <c r="H635" s="101"/>
      <c r="I635" s="101"/>
      <c r="J635" s="101"/>
    </row>
    <row r="636" spans="3:10" ht="16.5">
      <c r="C636" s="101"/>
      <c r="D636" s="101"/>
      <c r="E636" s="101"/>
      <c r="F636" s="101"/>
      <c r="G636" s="101"/>
      <c r="H636" s="101"/>
      <c r="I636" s="101"/>
      <c r="J636" s="101"/>
    </row>
    <row r="637" spans="3:10" ht="16.5">
      <c r="C637" s="101"/>
      <c r="D637" s="101"/>
      <c r="E637" s="101"/>
      <c r="F637" s="101"/>
      <c r="G637" s="101"/>
      <c r="H637" s="101"/>
      <c r="I637" s="101"/>
      <c r="J637" s="101"/>
    </row>
    <row r="638" spans="3:10" ht="16.5">
      <c r="C638" s="101"/>
      <c r="D638" s="101"/>
      <c r="E638" s="101"/>
      <c r="F638" s="101"/>
      <c r="G638" s="101"/>
      <c r="H638" s="101"/>
      <c r="I638" s="101"/>
      <c r="J638" s="101"/>
    </row>
    <row r="639" spans="3:10" ht="16.5">
      <c r="C639" s="101"/>
      <c r="D639" s="101"/>
      <c r="E639" s="101"/>
      <c r="F639" s="101"/>
      <c r="G639" s="101"/>
      <c r="H639" s="101"/>
      <c r="I639" s="101"/>
      <c r="J639" s="101"/>
    </row>
    <row r="640" spans="3:10" ht="16.5">
      <c r="C640" s="101"/>
      <c r="D640" s="101"/>
      <c r="E640" s="101"/>
      <c r="F640" s="101"/>
      <c r="G640" s="101"/>
      <c r="H640" s="101"/>
      <c r="I640" s="101"/>
      <c r="J640" s="101"/>
    </row>
    <row r="641" spans="3:10" ht="16.5">
      <c r="C641" s="101"/>
      <c r="D641" s="101"/>
      <c r="E641" s="101"/>
      <c r="F641" s="101"/>
      <c r="G641" s="101"/>
      <c r="H641" s="101"/>
      <c r="I641" s="101"/>
      <c r="J641" s="101"/>
    </row>
    <row r="642" spans="3:10" ht="16.5">
      <c r="C642" s="101"/>
      <c r="D642" s="101"/>
      <c r="E642" s="101"/>
      <c r="F642" s="101"/>
      <c r="G642" s="101"/>
      <c r="H642" s="101"/>
      <c r="I642" s="101"/>
      <c r="J642" s="101"/>
    </row>
    <row r="643" spans="3:10" ht="16.5">
      <c r="C643" s="101"/>
      <c r="D643" s="101"/>
      <c r="E643" s="101"/>
      <c r="F643" s="101"/>
      <c r="G643" s="101"/>
      <c r="H643" s="101"/>
      <c r="I643" s="101"/>
      <c r="J643" s="101"/>
    </row>
    <row r="644" spans="3:10" ht="16.5">
      <c r="C644" s="101"/>
      <c r="D644" s="101"/>
      <c r="E644" s="101"/>
      <c r="F644" s="101"/>
      <c r="G644" s="101"/>
      <c r="H644" s="101"/>
      <c r="I644" s="101"/>
      <c r="J644" s="101"/>
    </row>
    <row r="645" spans="3:10" ht="16.5">
      <c r="C645" s="101"/>
      <c r="D645" s="101"/>
      <c r="E645" s="101"/>
      <c r="F645" s="101"/>
      <c r="G645" s="101"/>
      <c r="H645" s="101"/>
      <c r="I645" s="101"/>
      <c r="J645" s="101"/>
    </row>
    <row r="646" spans="3:10" ht="16.5">
      <c r="C646" s="101"/>
      <c r="D646" s="101"/>
      <c r="E646" s="101"/>
      <c r="F646" s="101"/>
      <c r="G646" s="101"/>
      <c r="H646" s="101"/>
      <c r="I646" s="101"/>
      <c r="J646" s="101"/>
    </row>
    <row r="647" spans="3:10" ht="16.5">
      <c r="C647" s="101"/>
      <c r="D647" s="101"/>
      <c r="E647" s="101"/>
      <c r="F647" s="101"/>
      <c r="G647" s="101"/>
      <c r="H647" s="101"/>
      <c r="I647" s="101"/>
      <c r="J647" s="101"/>
    </row>
    <row r="648" spans="3:10" ht="16.5">
      <c r="C648" s="101"/>
      <c r="D648" s="101"/>
      <c r="E648" s="101"/>
      <c r="F648" s="101"/>
      <c r="G648" s="101"/>
      <c r="H648" s="101"/>
      <c r="I648" s="101"/>
      <c r="J648" s="101"/>
    </row>
    <row r="649" spans="3:10" ht="16.5">
      <c r="C649" s="101"/>
      <c r="D649" s="101"/>
      <c r="E649" s="101"/>
      <c r="F649" s="101"/>
      <c r="G649" s="101"/>
      <c r="H649" s="101"/>
      <c r="I649" s="101"/>
      <c r="J649" s="101"/>
    </row>
    <row r="650" spans="3:10" ht="16.5">
      <c r="C650" s="101"/>
      <c r="D650" s="101"/>
      <c r="E650" s="101"/>
      <c r="F650" s="101"/>
      <c r="G650" s="101"/>
      <c r="H650" s="101"/>
      <c r="I650" s="101"/>
      <c r="J650" s="101"/>
    </row>
    <row r="651" spans="3:10" ht="16.5">
      <c r="C651" s="101"/>
      <c r="D651" s="101"/>
      <c r="E651" s="101"/>
      <c r="F651" s="101"/>
      <c r="G651" s="101"/>
      <c r="H651" s="101"/>
      <c r="I651" s="101"/>
      <c r="J651" s="101"/>
    </row>
    <row r="652" spans="3:10" ht="16.5">
      <c r="C652" s="101"/>
      <c r="D652" s="101"/>
      <c r="E652" s="101"/>
      <c r="F652" s="101"/>
      <c r="G652" s="101"/>
      <c r="H652" s="101"/>
      <c r="I652" s="101"/>
      <c r="J652" s="101"/>
    </row>
    <row r="653" spans="3:10" ht="16.5">
      <c r="C653" s="101"/>
      <c r="D653" s="101"/>
      <c r="E653" s="101"/>
      <c r="F653" s="101"/>
      <c r="G653" s="101"/>
      <c r="H653" s="101"/>
      <c r="I653" s="101"/>
      <c r="J653" s="101"/>
    </row>
    <row r="654" spans="3:10" ht="16.5">
      <c r="C654" s="101"/>
      <c r="D654" s="101"/>
      <c r="E654" s="101"/>
      <c r="F654" s="101"/>
      <c r="G654" s="101"/>
      <c r="H654" s="101"/>
      <c r="I654" s="101"/>
      <c r="J654" s="101"/>
    </row>
    <row r="655" spans="3:10" ht="16.5">
      <c r="C655" s="101"/>
      <c r="D655" s="101"/>
      <c r="E655" s="101"/>
      <c r="F655" s="101"/>
      <c r="G655" s="101"/>
      <c r="H655" s="101"/>
      <c r="I655" s="101"/>
      <c r="J655" s="101"/>
    </row>
    <row r="656" spans="3:10" ht="16.5">
      <c r="C656" s="101"/>
      <c r="D656" s="101"/>
      <c r="E656" s="101"/>
      <c r="F656" s="101"/>
      <c r="G656" s="101"/>
      <c r="H656" s="101"/>
      <c r="I656" s="101"/>
      <c r="J656" s="101"/>
    </row>
    <row r="657" spans="3:10" ht="16.5">
      <c r="C657" s="101"/>
      <c r="D657" s="101"/>
      <c r="E657" s="101"/>
      <c r="F657" s="101"/>
      <c r="G657" s="101"/>
      <c r="H657" s="101"/>
      <c r="I657" s="101"/>
      <c r="J657" s="101"/>
    </row>
    <row r="658" spans="3:10" ht="16.5">
      <c r="C658" s="101"/>
      <c r="D658" s="101"/>
      <c r="E658" s="101"/>
      <c r="F658" s="101"/>
      <c r="G658" s="101"/>
      <c r="H658" s="101"/>
      <c r="I658" s="101"/>
      <c r="J658" s="101"/>
    </row>
    <row r="659" spans="3:10" ht="16.5">
      <c r="C659" s="101"/>
      <c r="D659" s="101"/>
      <c r="E659" s="101"/>
      <c r="F659" s="101"/>
      <c r="G659" s="101"/>
      <c r="H659" s="101"/>
      <c r="I659" s="101"/>
      <c r="J659" s="101"/>
    </row>
    <row r="660" spans="3:10" ht="16.5">
      <c r="C660" s="101"/>
      <c r="D660" s="101"/>
      <c r="E660" s="101"/>
      <c r="F660" s="101"/>
      <c r="G660" s="101"/>
      <c r="H660" s="101"/>
      <c r="I660" s="101"/>
      <c r="J660" s="101"/>
    </row>
    <row r="661" spans="3:10" ht="16.5">
      <c r="C661" s="101"/>
      <c r="D661" s="101"/>
      <c r="E661" s="101"/>
      <c r="F661" s="101"/>
      <c r="G661" s="101"/>
      <c r="H661" s="101"/>
      <c r="I661" s="101"/>
      <c r="J661" s="101"/>
    </row>
    <row r="662" spans="3:10" ht="16.5">
      <c r="C662" s="101"/>
      <c r="D662" s="101"/>
      <c r="E662" s="101"/>
      <c r="F662" s="101"/>
      <c r="G662" s="101"/>
      <c r="H662" s="101"/>
      <c r="I662" s="101"/>
      <c r="J662" s="101"/>
    </row>
    <row r="663" spans="3:10" ht="16.5">
      <c r="C663" s="101"/>
      <c r="D663" s="101"/>
      <c r="E663" s="101"/>
      <c r="F663" s="101"/>
      <c r="G663" s="101"/>
      <c r="H663" s="101"/>
      <c r="I663" s="101"/>
      <c r="J663" s="101"/>
    </row>
    <row r="664" spans="3:10" ht="16.5">
      <c r="C664" s="101"/>
      <c r="D664" s="101"/>
      <c r="E664" s="101"/>
      <c r="F664" s="101"/>
      <c r="G664" s="101"/>
      <c r="H664" s="101"/>
      <c r="I664" s="101"/>
      <c r="J664" s="101"/>
    </row>
    <row r="665" spans="3:10" ht="16.5">
      <c r="C665" s="101"/>
      <c r="D665" s="101"/>
      <c r="E665" s="101"/>
      <c r="F665" s="101"/>
      <c r="G665" s="101"/>
      <c r="H665" s="101"/>
      <c r="I665" s="101"/>
      <c r="J665" s="101"/>
    </row>
    <row r="666" spans="3:10" ht="16.5">
      <c r="C666" s="101"/>
      <c r="D666" s="101"/>
      <c r="E666" s="101"/>
      <c r="F666" s="101"/>
      <c r="G666" s="101"/>
      <c r="H666" s="101"/>
      <c r="I666" s="101"/>
      <c r="J666" s="101"/>
    </row>
    <row r="667" spans="3:10" ht="16.5">
      <c r="C667" s="101"/>
      <c r="D667" s="101"/>
      <c r="E667" s="101"/>
      <c r="F667" s="101"/>
      <c r="G667" s="101"/>
      <c r="H667" s="101"/>
      <c r="I667" s="101"/>
      <c r="J667" s="101"/>
    </row>
    <row r="668" spans="3:10" ht="16.5">
      <c r="C668" s="101"/>
      <c r="D668" s="101"/>
      <c r="E668" s="101"/>
      <c r="F668" s="101"/>
      <c r="G668" s="101"/>
      <c r="H668" s="101"/>
      <c r="I668" s="101"/>
      <c r="J668" s="101"/>
    </row>
    <row r="669" spans="3:10" ht="16.5">
      <c r="C669" s="101"/>
      <c r="D669" s="101"/>
      <c r="E669" s="101"/>
      <c r="F669" s="101"/>
      <c r="G669" s="101"/>
      <c r="H669" s="101"/>
      <c r="I669" s="101"/>
      <c r="J669" s="101"/>
    </row>
    <row r="670" spans="3:10" ht="16.5">
      <c r="C670" s="101"/>
      <c r="D670" s="101"/>
      <c r="E670" s="101"/>
      <c r="F670" s="101"/>
      <c r="G670" s="101"/>
      <c r="H670" s="101"/>
      <c r="I670" s="101"/>
      <c r="J670" s="101"/>
    </row>
    <row r="671" spans="3:10" ht="16.5">
      <c r="C671" s="101"/>
      <c r="D671" s="101"/>
      <c r="E671" s="101"/>
      <c r="F671" s="101"/>
      <c r="G671" s="101"/>
      <c r="H671" s="101"/>
      <c r="I671" s="101"/>
      <c r="J671" s="101"/>
    </row>
    <row r="672" spans="3:10" ht="16.5">
      <c r="C672" s="101"/>
      <c r="D672" s="101"/>
      <c r="E672" s="101"/>
      <c r="F672" s="101"/>
      <c r="G672" s="101"/>
      <c r="H672" s="101"/>
      <c r="I672" s="101"/>
      <c r="J672" s="101"/>
    </row>
    <row r="673" spans="3:10" ht="16.5">
      <c r="C673" s="101"/>
      <c r="D673" s="101"/>
      <c r="E673" s="101"/>
      <c r="F673" s="101"/>
      <c r="G673" s="101"/>
      <c r="H673" s="101"/>
      <c r="I673" s="101"/>
      <c r="J673" s="101"/>
    </row>
    <row r="674" spans="3:10" ht="16.5">
      <c r="C674" s="101"/>
      <c r="D674" s="101"/>
      <c r="E674" s="101"/>
      <c r="F674" s="101"/>
      <c r="G674" s="101"/>
      <c r="H674" s="101"/>
      <c r="I674" s="101"/>
      <c r="J674" s="101"/>
    </row>
    <row r="675" spans="3:10" ht="16.5">
      <c r="C675" s="101"/>
      <c r="D675" s="101"/>
      <c r="E675" s="101"/>
      <c r="F675" s="101"/>
      <c r="G675" s="101"/>
      <c r="H675" s="101"/>
      <c r="I675" s="101"/>
      <c r="J675" s="101"/>
    </row>
    <row r="676" spans="3:10" ht="16.5">
      <c r="C676" s="101"/>
      <c r="D676" s="101"/>
      <c r="E676" s="101"/>
      <c r="F676" s="101"/>
      <c r="G676" s="101"/>
      <c r="H676" s="101"/>
      <c r="I676" s="101"/>
      <c r="J676" s="101"/>
    </row>
    <row r="677" spans="3:10" ht="16.5">
      <c r="C677" s="101"/>
      <c r="D677" s="101"/>
      <c r="E677" s="101"/>
      <c r="F677" s="101"/>
      <c r="G677" s="101"/>
      <c r="H677" s="101"/>
      <c r="I677" s="101"/>
      <c r="J677" s="101"/>
    </row>
    <row r="678" spans="3:10" ht="16.5">
      <c r="C678" s="101"/>
      <c r="D678" s="101"/>
      <c r="E678" s="101"/>
      <c r="F678" s="101"/>
      <c r="G678" s="101"/>
      <c r="H678" s="101"/>
      <c r="I678" s="101"/>
      <c r="J678" s="101"/>
    </row>
    <row r="679" spans="3:10" ht="16.5">
      <c r="C679" s="101"/>
      <c r="D679" s="101"/>
      <c r="E679" s="101"/>
      <c r="F679" s="101"/>
      <c r="G679" s="101"/>
      <c r="H679" s="101"/>
      <c r="I679" s="101"/>
      <c r="J679" s="101"/>
    </row>
    <row r="680" spans="3:10" ht="16.5">
      <c r="C680" s="101"/>
      <c r="D680" s="101"/>
      <c r="E680" s="101"/>
      <c r="F680" s="101"/>
      <c r="G680" s="101"/>
      <c r="H680" s="101"/>
      <c r="I680" s="101"/>
      <c r="J680" s="101"/>
    </row>
    <row r="681" spans="3:10" ht="16.5">
      <c r="C681" s="101"/>
      <c r="D681" s="101"/>
      <c r="E681" s="101"/>
      <c r="F681" s="101"/>
      <c r="G681" s="101"/>
      <c r="H681" s="101"/>
      <c r="I681" s="101"/>
      <c r="J681" s="101"/>
    </row>
    <row r="682" spans="3:10" ht="16.5">
      <c r="C682" s="101"/>
      <c r="D682" s="101"/>
      <c r="E682" s="101"/>
      <c r="F682" s="101"/>
      <c r="G682" s="101"/>
      <c r="H682" s="101"/>
      <c r="I682" s="101"/>
      <c r="J682" s="101"/>
    </row>
    <row r="683" spans="3:10" ht="16.5">
      <c r="C683" s="101"/>
      <c r="D683" s="101"/>
      <c r="E683" s="101"/>
      <c r="F683" s="101"/>
      <c r="G683" s="101"/>
      <c r="H683" s="101"/>
      <c r="I683" s="101"/>
      <c r="J683" s="101"/>
    </row>
    <row r="684" spans="3:10" ht="16.5">
      <c r="C684" s="101"/>
      <c r="D684" s="101"/>
      <c r="E684" s="101"/>
      <c r="F684" s="101"/>
      <c r="G684" s="101"/>
      <c r="H684" s="101"/>
      <c r="I684" s="101"/>
      <c r="J684" s="101"/>
    </row>
    <row r="685" spans="3:10" ht="16.5">
      <c r="C685" s="101"/>
      <c r="D685" s="101"/>
      <c r="E685" s="101"/>
      <c r="F685" s="101"/>
      <c r="G685" s="101"/>
      <c r="H685" s="101"/>
      <c r="I685" s="101"/>
      <c r="J685" s="101"/>
    </row>
    <row r="686" spans="3:10" ht="16.5">
      <c r="C686" s="101"/>
      <c r="D686" s="101"/>
      <c r="E686" s="101"/>
      <c r="F686" s="101"/>
      <c r="G686" s="101"/>
      <c r="H686" s="101"/>
      <c r="I686" s="101"/>
      <c r="J686" s="101"/>
    </row>
    <row r="687" spans="3:10" ht="16.5">
      <c r="C687" s="101"/>
      <c r="D687" s="101"/>
      <c r="E687" s="101"/>
      <c r="F687" s="101"/>
      <c r="G687" s="101"/>
      <c r="H687" s="101"/>
      <c r="I687" s="101"/>
      <c r="J687" s="101"/>
    </row>
    <row r="688" spans="3:10" ht="16.5">
      <c r="C688" s="101"/>
      <c r="D688" s="101"/>
      <c r="E688" s="101"/>
      <c r="F688" s="101"/>
      <c r="G688" s="101"/>
      <c r="H688" s="101"/>
      <c r="I688" s="101"/>
      <c r="J688" s="101"/>
    </row>
    <row r="689" spans="3:10" ht="16.5">
      <c r="C689" s="101"/>
      <c r="D689" s="101"/>
      <c r="E689" s="101"/>
      <c r="F689" s="101"/>
      <c r="G689" s="101"/>
      <c r="H689" s="101"/>
      <c r="I689" s="101"/>
      <c r="J689" s="101"/>
    </row>
    <row r="690" spans="3:10" ht="16.5">
      <c r="C690" s="101"/>
      <c r="D690" s="101"/>
      <c r="E690" s="101"/>
      <c r="F690" s="101"/>
      <c r="G690" s="101"/>
      <c r="H690" s="101"/>
      <c r="I690" s="101"/>
      <c r="J690" s="101"/>
    </row>
    <row r="691" spans="3:10" ht="16.5">
      <c r="C691" s="101"/>
      <c r="D691" s="101"/>
      <c r="E691" s="101"/>
      <c r="F691" s="101"/>
      <c r="G691" s="101"/>
      <c r="H691" s="101"/>
      <c r="I691" s="101"/>
      <c r="J691" s="101"/>
    </row>
    <row r="692" spans="3:10" ht="16.5">
      <c r="C692" s="101"/>
      <c r="D692" s="101"/>
      <c r="E692" s="101"/>
      <c r="F692" s="101"/>
      <c r="G692" s="101"/>
      <c r="H692" s="101"/>
      <c r="I692" s="101"/>
      <c r="J692" s="101"/>
    </row>
    <row r="693" spans="3:10" ht="16.5">
      <c r="C693" s="101"/>
      <c r="D693" s="101"/>
      <c r="E693" s="101"/>
      <c r="F693" s="101"/>
      <c r="G693" s="101"/>
      <c r="H693" s="101"/>
      <c r="I693" s="101"/>
      <c r="J693" s="101"/>
    </row>
    <row r="694" spans="3:10" ht="16.5">
      <c r="C694" s="101"/>
      <c r="D694" s="101"/>
      <c r="E694" s="101"/>
      <c r="F694" s="101"/>
      <c r="G694" s="101"/>
      <c r="H694" s="101"/>
      <c r="I694" s="101"/>
      <c r="J694" s="101"/>
    </row>
    <row r="695" spans="3:10" ht="16.5">
      <c r="C695" s="101"/>
      <c r="D695" s="101"/>
      <c r="E695" s="101"/>
      <c r="F695" s="101"/>
      <c r="G695" s="101"/>
      <c r="H695" s="101"/>
      <c r="I695" s="101"/>
      <c r="J695" s="101"/>
    </row>
    <row r="696" spans="3:10" ht="16.5">
      <c r="C696" s="101"/>
      <c r="D696" s="101"/>
      <c r="E696" s="101"/>
      <c r="F696" s="101"/>
      <c r="G696" s="101"/>
      <c r="H696" s="101"/>
      <c r="I696" s="101"/>
      <c r="J696" s="101"/>
    </row>
    <row r="697" spans="3:10" ht="16.5">
      <c r="C697" s="101"/>
      <c r="D697" s="101"/>
      <c r="E697" s="101"/>
      <c r="F697" s="101"/>
      <c r="G697" s="101"/>
      <c r="H697" s="101"/>
      <c r="I697" s="101"/>
      <c r="J697" s="101"/>
    </row>
    <row r="698" spans="3:10" ht="16.5">
      <c r="C698" s="101"/>
      <c r="D698" s="101"/>
      <c r="E698" s="101"/>
      <c r="F698" s="101"/>
      <c r="G698" s="101"/>
      <c r="H698" s="101"/>
      <c r="I698" s="101"/>
      <c r="J698" s="101"/>
    </row>
    <row r="699" spans="3:10" ht="16.5">
      <c r="C699" s="101"/>
      <c r="D699" s="101"/>
      <c r="E699" s="101"/>
      <c r="F699" s="101"/>
      <c r="G699" s="101"/>
      <c r="H699" s="101"/>
      <c r="I699" s="101"/>
      <c r="J699" s="101"/>
    </row>
    <row r="700" spans="3:10" ht="16.5">
      <c r="C700" s="101"/>
      <c r="D700" s="101"/>
      <c r="E700" s="101"/>
      <c r="F700" s="101"/>
      <c r="G700" s="101"/>
      <c r="H700" s="101"/>
      <c r="I700" s="101"/>
      <c r="J700" s="101"/>
    </row>
    <row r="701" spans="3:10" ht="16.5">
      <c r="C701" s="101"/>
      <c r="D701" s="101"/>
      <c r="E701" s="101"/>
      <c r="F701" s="101"/>
      <c r="G701" s="101"/>
      <c r="H701" s="101"/>
      <c r="I701" s="101"/>
      <c r="J701" s="101"/>
    </row>
    <row r="702" spans="3:10" ht="16.5">
      <c r="C702" s="101"/>
      <c r="D702" s="101"/>
      <c r="E702" s="101"/>
      <c r="F702" s="101"/>
      <c r="G702" s="101"/>
      <c r="H702" s="101"/>
      <c r="I702" s="101"/>
      <c r="J702" s="101"/>
    </row>
    <row r="703" spans="3:10" ht="16.5">
      <c r="C703" s="101"/>
      <c r="D703" s="101"/>
      <c r="E703" s="101"/>
      <c r="F703" s="101"/>
      <c r="G703" s="101"/>
      <c r="H703" s="101"/>
      <c r="I703" s="101"/>
      <c r="J703" s="101"/>
    </row>
    <row r="704" spans="3:10" ht="16.5">
      <c r="C704" s="101"/>
      <c r="D704" s="101"/>
      <c r="E704" s="101"/>
      <c r="F704" s="101"/>
      <c r="G704" s="101"/>
      <c r="H704" s="101"/>
      <c r="I704" s="101"/>
      <c r="J704" s="101"/>
    </row>
    <row r="705" spans="3:10" ht="16.5">
      <c r="C705" s="101"/>
      <c r="D705" s="101"/>
      <c r="E705" s="101"/>
      <c r="F705" s="101"/>
      <c r="G705" s="101"/>
      <c r="H705" s="101"/>
      <c r="I705" s="101"/>
      <c r="J705" s="101"/>
    </row>
    <row r="706" spans="3:10" ht="16.5">
      <c r="C706" s="101"/>
      <c r="D706" s="101"/>
      <c r="E706" s="101"/>
      <c r="F706" s="101"/>
      <c r="G706" s="101"/>
      <c r="H706" s="101"/>
      <c r="I706" s="101"/>
      <c r="J706" s="101"/>
    </row>
    <row r="707" spans="3:10" ht="16.5">
      <c r="C707" s="101"/>
      <c r="D707" s="101"/>
      <c r="E707" s="101"/>
      <c r="F707" s="101"/>
      <c r="G707" s="101"/>
      <c r="H707" s="101"/>
      <c r="I707" s="101"/>
      <c r="J707" s="101"/>
    </row>
    <row r="708" spans="3:10" ht="16.5">
      <c r="C708" s="101"/>
      <c r="D708" s="101"/>
      <c r="E708" s="101"/>
      <c r="F708" s="101"/>
      <c r="G708" s="101"/>
      <c r="H708" s="101"/>
      <c r="I708" s="101"/>
      <c r="J708" s="101"/>
    </row>
    <row r="709" spans="3:10" ht="16.5">
      <c r="C709" s="101"/>
      <c r="D709" s="101"/>
      <c r="E709" s="101"/>
      <c r="F709" s="101"/>
      <c r="G709" s="101"/>
      <c r="H709" s="101"/>
      <c r="I709" s="101"/>
      <c r="J709" s="101"/>
    </row>
    <row r="710" spans="3:10" ht="16.5">
      <c r="C710" s="101"/>
      <c r="D710" s="101"/>
      <c r="E710" s="101"/>
      <c r="F710" s="101"/>
      <c r="G710" s="101"/>
      <c r="H710" s="101"/>
      <c r="I710" s="101"/>
      <c r="J710" s="101"/>
    </row>
    <row r="711" spans="3:10" ht="16.5">
      <c r="C711" s="101"/>
      <c r="D711" s="101"/>
      <c r="E711" s="101"/>
      <c r="F711" s="101"/>
      <c r="G711" s="101"/>
      <c r="H711" s="101"/>
      <c r="I711" s="101"/>
      <c r="J711" s="101"/>
    </row>
    <row r="712" spans="3:10" ht="16.5">
      <c r="C712" s="101"/>
      <c r="D712" s="101"/>
      <c r="E712" s="101"/>
      <c r="F712" s="101"/>
      <c r="G712" s="101"/>
      <c r="H712" s="101"/>
      <c r="I712" s="101"/>
      <c r="J712" s="101"/>
    </row>
    <row r="713" spans="3:10" ht="16.5">
      <c r="C713" s="101"/>
      <c r="D713" s="101"/>
      <c r="E713" s="101"/>
      <c r="F713" s="101"/>
      <c r="G713" s="101"/>
      <c r="H713" s="101"/>
      <c r="I713" s="101"/>
      <c r="J713" s="101"/>
    </row>
    <row r="714" spans="3:10" ht="16.5">
      <c r="C714" s="101"/>
      <c r="D714" s="101"/>
      <c r="E714" s="101"/>
      <c r="F714" s="101"/>
      <c r="G714" s="101"/>
      <c r="H714" s="101"/>
      <c r="I714" s="101"/>
      <c r="J714" s="101"/>
    </row>
    <row r="715" spans="3:10" ht="16.5">
      <c r="C715" s="101"/>
      <c r="D715" s="101"/>
      <c r="E715" s="101"/>
      <c r="F715" s="101"/>
      <c r="G715" s="101"/>
      <c r="H715" s="101"/>
      <c r="I715" s="101"/>
      <c r="J715" s="101"/>
    </row>
    <row r="716" spans="3:10" ht="16.5">
      <c r="C716" s="101"/>
      <c r="D716" s="101"/>
      <c r="E716" s="101"/>
      <c r="F716" s="101"/>
      <c r="G716" s="101"/>
      <c r="H716" s="101"/>
      <c r="I716" s="101"/>
      <c r="J716" s="101"/>
    </row>
    <row r="717" spans="3:10" ht="16.5">
      <c r="C717" s="101"/>
      <c r="D717" s="101"/>
      <c r="E717" s="101"/>
      <c r="F717" s="101"/>
      <c r="G717" s="101"/>
      <c r="H717" s="101"/>
      <c r="I717" s="101"/>
      <c r="J717" s="101"/>
    </row>
    <row r="718" spans="3:10" ht="16.5">
      <c r="C718" s="101"/>
      <c r="D718" s="101"/>
      <c r="E718" s="101"/>
      <c r="F718" s="101"/>
      <c r="G718" s="101"/>
      <c r="H718" s="101"/>
      <c r="I718" s="101"/>
      <c r="J718" s="101"/>
    </row>
    <row r="719" spans="3:10" ht="16.5">
      <c r="C719" s="101"/>
      <c r="D719" s="101"/>
      <c r="E719" s="101"/>
      <c r="F719" s="101"/>
      <c r="G719" s="101"/>
      <c r="H719" s="101"/>
      <c r="I719" s="101"/>
      <c r="J719" s="101"/>
    </row>
    <row r="720" spans="3:10" ht="16.5">
      <c r="C720" s="101"/>
      <c r="D720" s="101"/>
      <c r="E720" s="101"/>
      <c r="F720" s="101"/>
      <c r="G720" s="101"/>
      <c r="H720" s="101"/>
      <c r="I720" s="101"/>
      <c r="J720" s="101"/>
    </row>
    <row r="721" spans="3:10" ht="16.5">
      <c r="C721" s="101"/>
      <c r="D721" s="101"/>
      <c r="E721" s="101"/>
      <c r="F721" s="101"/>
      <c r="G721" s="101"/>
      <c r="H721" s="101"/>
      <c r="I721" s="101"/>
      <c r="J721" s="101"/>
    </row>
    <row r="722" spans="3:10" ht="16.5">
      <c r="C722" s="101"/>
      <c r="D722" s="101"/>
      <c r="E722" s="101"/>
      <c r="F722" s="101"/>
      <c r="G722" s="101"/>
      <c r="H722" s="101"/>
      <c r="I722" s="101"/>
      <c r="J722" s="101"/>
    </row>
    <row r="723" spans="3:10" ht="16.5">
      <c r="C723" s="101"/>
      <c r="D723" s="101"/>
      <c r="E723" s="101"/>
      <c r="F723" s="101"/>
      <c r="G723" s="101"/>
      <c r="H723" s="101"/>
      <c r="I723" s="101"/>
      <c r="J723" s="101"/>
    </row>
    <row r="724" spans="3:10" ht="16.5">
      <c r="C724" s="101"/>
      <c r="D724" s="101"/>
      <c r="E724" s="101"/>
      <c r="F724" s="101"/>
      <c r="G724" s="101"/>
      <c r="H724" s="101"/>
      <c r="I724" s="101"/>
      <c r="J724" s="101"/>
    </row>
    <row r="725" spans="3:10" ht="16.5">
      <c r="C725" s="101"/>
      <c r="D725" s="101"/>
      <c r="E725" s="101"/>
      <c r="F725" s="101"/>
      <c r="G725" s="101"/>
      <c r="H725" s="101"/>
      <c r="I725" s="101"/>
      <c r="J725" s="101"/>
    </row>
    <row r="726" spans="3:10" ht="16.5">
      <c r="C726" s="101"/>
      <c r="D726" s="101"/>
      <c r="E726" s="101"/>
      <c r="F726" s="101"/>
      <c r="G726" s="101"/>
      <c r="H726" s="101"/>
      <c r="I726" s="101"/>
      <c r="J726" s="101"/>
    </row>
    <row r="727" spans="3:10" ht="16.5">
      <c r="C727" s="101"/>
      <c r="D727" s="101"/>
      <c r="E727" s="101"/>
      <c r="F727" s="101"/>
      <c r="G727" s="101"/>
      <c r="H727" s="101"/>
      <c r="I727" s="101"/>
      <c r="J727" s="101"/>
    </row>
    <row r="728" spans="3:10" ht="16.5">
      <c r="C728" s="101"/>
      <c r="D728" s="101"/>
      <c r="E728" s="101"/>
      <c r="F728" s="101"/>
      <c r="G728" s="101"/>
      <c r="H728" s="101"/>
      <c r="I728" s="101"/>
      <c r="J728" s="101"/>
    </row>
    <row r="729" spans="3:10" ht="16.5">
      <c r="C729" s="101"/>
      <c r="D729" s="101"/>
      <c r="E729" s="101"/>
      <c r="F729" s="101"/>
      <c r="G729" s="101"/>
      <c r="H729" s="101"/>
      <c r="I729" s="101"/>
      <c r="J729" s="101"/>
    </row>
    <row r="730" spans="3:10" ht="16.5">
      <c r="C730" s="101"/>
      <c r="D730" s="101"/>
      <c r="E730" s="101"/>
      <c r="F730" s="101"/>
      <c r="G730" s="101"/>
      <c r="H730" s="101"/>
      <c r="I730" s="101"/>
      <c r="J730" s="101"/>
    </row>
    <row r="731" spans="3:10" ht="16.5">
      <c r="C731" s="101"/>
      <c r="D731" s="101"/>
      <c r="E731" s="101"/>
      <c r="F731" s="101"/>
      <c r="G731" s="101"/>
      <c r="H731" s="101"/>
      <c r="I731" s="101"/>
      <c r="J731" s="101"/>
    </row>
    <row r="732" spans="3:10" ht="16.5">
      <c r="C732" s="101"/>
      <c r="D732" s="101"/>
      <c r="E732" s="101"/>
      <c r="F732" s="101"/>
      <c r="G732" s="101"/>
      <c r="H732" s="101"/>
      <c r="I732" s="101"/>
      <c r="J732" s="101"/>
    </row>
    <row r="733" spans="3:10" ht="16.5">
      <c r="C733" s="101"/>
      <c r="D733" s="101"/>
      <c r="E733" s="101"/>
      <c r="F733" s="101"/>
      <c r="G733" s="101"/>
      <c r="H733" s="101"/>
      <c r="I733" s="101"/>
      <c r="J733" s="101"/>
    </row>
    <row r="734" spans="3:10" ht="16.5">
      <c r="C734" s="101"/>
      <c r="D734" s="101"/>
      <c r="E734" s="101"/>
      <c r="F734" s="101"/>
      <c r="G734" s="101"/>
      <c r="H734" s="101"/>
      <c r="I734" s="101"/>
      <c r="J734" s="101"/>
    </row>
    <row r="735" spans="3:10" ht="16.5">
      <c r="C735" s="101"/>
      <c r="D735" s="101"/>
      <c r="E735" s="101"/>
      <c r="F735" s="101"/>
      <c r="G735" s="101"/>
      <c r="H735" s="101"/>
      <c r="I735" s="101"/>
      <c r="J735" s="101"/>
    </row>
    <row r="736" spans="3:10" ht="16.5">
      <c r="C736" s="101"/>
      <c r="D736" s="101"/>
      <c r="E736" s="101"/>
      <c r="F736" s="101"/>
      <c r="G736" s="101"/>
      <c r="H736" s="101"/>
      <c r="I736" s="101"/>
      <c r="J736" s="101"/>
    </row>
    <row r="737" spans="3:10" ht="16.5">
      <c r="C737" s="101"/>
      <c r="D737" s="101"/>
      <c r="E737" s="101"/>
      <c r="F737" s="101"/>
      <c r="G737" s="101"/>
      <c r="H737" s="101"/>
      <c r="I737" s="101"/>
      <c r="J737" s="101"/>
    </row>
    <row r="738" spans="3:10" ht="16.5">
      <c r="C738" s="101"/>
      <c r="D738" s="101"/>
      <c r="E738" s="101"/>
      <c r="F738" s="101"/>
      <c r="G738" s="101"/>
      <c r="H738" s="101"/>
      <c r="I738" s="101"/>
      <c r="J738" s="101"/>
    </row>
    <row r="739" spans="3:10" ht="16.5">
      <c r="C739" s="101"/>
      <c r="D739" s="101"/>
      <c r="E739" s="101"/>
      <c r="F739" s="101"/>
      <c r="G739" s="101"/>
      <c r="H739" s="101"/>
      <c r="I739" s="101"/>
      <c r="J739" s="101"/>
    </row>
    <row r="740" spans="3:10" ht="16.5">
      <c r="C740" s="101"/>
      <c r="D740" s="101"/>
      <c r="E740" s="101"/>
      <c r="F740" s="101"/>
      <c r="G740" s="101"/>
      <c r="H740" s="101"/>
      <c r="I740" s="101"/>
      <c r="J740" s="101"/>
    </row>
    <row r="741" spans="3:10" ht="16.5">
      <c r="C741" s="101"/>
      <c r="D741" s="101"/>
      <c r="E741" s="101"/>
      <c r="F741" s="101"/>
      <c r="G741" s="101"/>
      <c r="H741" s="101"/>
      <c r="I741" s="101"/>
      <c r="J741" s="101"/>
    </row>
    <row r="742" spans="3:10" ht="16.5">
      <c r="C742" s="101"/>
      <c r="D742" s="101"/>
      <c r="E742" s="101"/>
      <c r="F742" s="101"/>
      <c r="G742" s="101"/>
      <c r="H742" s="101"/>
      <c r="I742" s="101"/>
      <c r="J742" s="101"/>
    </row>
    <row r="743" spans="3:10" ht="16.5">
      <c r="C743" s="101"/>
      <c r="D743" s="101"/>
      <c r="E743" s="101"/>
      <c r="F743" s="101"/>
      <c r="G743" s="101"/>
      <c r="H743" s="101"/>
      <c r="I743" s="101"/>
      <c r="J743" s="101"/>
    </row>
    <row r="744" spans="3:10" ht="16.5">
      <c r="C744" s="101"/>
      <c r="D744" s="101"/>
      <c r="E744" s="101"/>
      <c r="F744" s="101"/>
      <c r="G744" s="101"/>
      <c r="H744" s="101"/>
      <c r="I744" s="101"/>
      <c r="J744" s="101"/>
    </row>
    <row r="745" spans="3:10" ht="16.5">
      <c r="C745" s="101"/>
      <c r="D745" s="101"/>
      <c r="E745" s="101"/>
      <c r="F745" s="101"/>
      <c r="G745" s="101"/>
      <c r="H745" s="101"/>
      <c r="I745" s="101"/>
      <c r="J745" s="101"/>
    </row>
    <row r="746" spans="3:10" ht="16.5">
      <c r="C746" s="101"/>
      <c r="D746" s="101"/>
      <c r="E746" s="101"/>
      <c r="F746" s="101"/>
      <c r="G746" s="101"/>
      <c r="H746" s="101"/>
      <c r="I746" s="101"/>
      <c r="J746" s="101"/>
    </row>
    <row r="747" spans="3:10" ht="16.5">
      <c r="C747" s="101"/>
      <c r="D747" s="101"/>
      <c r="E747" s="101"/>
      <c r="F747" s="101"/>
      <c r="G747" s="101"/>
      <c r="H747" s="101"/>
      <c r="I747" s="101"/>
      <c r="J747" s="101"/>
    </row>
    <row r="748" spans="3:10" ht="16.5">
      <c r="C748" s="101"/>
      <c r="D748" s="101"/>
      <c r="E748" s="101"/>
      <c r="F748" s="101"/>
      <c r="G748" s="101"/>
      <c r="H748" s="101"/>
      <c r="I748" s="101"/>
      <c r="J748" s="101"/>
    </row>
    <row r="749" spans="3:10" ht="16.5">
      <c r="C749" s="101"/>
      <c r="D749" s="101"/>
      <c r="E749" s="101"/>
      <c r="F749" s="101"/>
      <c r="G749" s="101"/>
      <c r="H749" s="101"/>
      <c r="I749" s="101"/>
      <c r="J749" s="101"/>
    </row>
    <row r="750" spans="3:10" ht="16.5">
      <c r="C750" s="101"/>
      <c r="D750" s="101"/>
      <c r="E750" s="101"/>
      <c r="F750" s="101"/>
      <c r="G750" s="101"/>
      <c r="H750" s="101"/>
      <c r="I750" s="101"/>
      <c r="J750" s="101"/>
    </row>
    <row r="751" spans="3:10" ht="16.5">
      <c r="C751" s="101"/>
      <c r="D751" s="101"/>
      <c r="E751" s="101"/>
      <c r="F751" s="101"/>
      <c r="G751" s="101"/>
      <c r="H751" s="101"/>
      <c r="I751" s="101"/>
      <c r="J751" s="101"/>
    </row>
    <row r="752" spans="3:10" ht="16.5">
      <c r="C752" s="101"/>
      <c r="D752" s="101"/>
      <c r="E752" s="101"/>
      <c r="F752" s="101"/>
      <c r="G752" s="101"/>
      <c r="H752" s="101"/>
      <c r="I752" s="101"/>
      <c r="J752" s="101"/>
    </row>
    <row r="753" spans="3:10" ht="16.5">
      <c r="C753" s="101"/>
      <c r="D753" s="101"/>
      <c r="E753" s="101"/>
      <c r="F753" s="101"/>
      <c r="G753" s="101"/>
      <c r="H753" s="101"/>
      <c r="I753" s="101"/>
      <c r="J753" s="101"/>
    </row>
    <row r="754" spans="3:10" ht="16.5">
      <c r="C754" s="101"/>
      <c r="D754" s="101"/>
      <c r="E754" s="101"/>
      <c r="F754" s="101"/>
      <c r="G754" s="101"/>
      <c r="H754" s="101"/>
      <c r="I754" s="101"/>
      <c r="J754" s="101"/>
    </row>
    <row r="755" spans="3:10" ht="16.5">
      <c r="C755" s="101"/>
      <c r="D755" s="101"/>
      <c r="E755" s="101"/>
      <c r="F755" s="101"/>
      <c r="G755" s="101"/>
      <c r="H755" s="101"/>
      <c r="I755" s="101"/>
      <c r="J755" s="101"/>
    </row>
    <row r="756" spans="3:10" ht="16.5">
      <c r="C756" s="101"/>
      <c r="D756" s="101"/>
      <c r="E756" s="101"/>
      <c r="F756" s="101"/>
      <c r="G756" s="101"/>
      <c r="H756" s="101"/>
      <c r="I756" s="101"/>
      <c r="J756" s="101"/>
    </row>
    <row r="757" spans="3:10" ht="16.5">
      <c r="C757" s="101"/>
      <c r="D757" s="101"/>
      <c r="E757" s="101"/>
      <c r="F757" s="101"/>
      <c r="G757" s="101"/>
      <c r="H757" s="101"/>
      <c r="I757" s="101"/>
      <c r="J757" s="101"/>
    </row>
    <row r="758" spans="3:10" ht="16.5">
      <c r="C758" s="101"/>
      <c r="D758" s="101"/>
      <c r="E758" s="101"/>
      <c r="F758" s="101"/>
      <c r="G758" s="101"/>
      <c r="H758" s="101"/>
      <c r="I758" s="101"/>
      <c r="J758" s="101"/>
    </row>
    <row r="759" spans="3:10" ht="16.5">
      <c r="C759" s="101"/>
      <c r="D759" s="101"/>
      <c r="E759" s="101"/>
      <c r="F759" s="101"/>
      <c r="G759" s="101"/>
      <c r="H759" s="101"/>
      <c r="I759" s="101"/>
      <c r="J759" s="101"/>
    </row>
    <row r="760" spans="3:10" ht="16.5">
      <c r="C760" s="101"/>
      <c r="D760" s="101"/>
      <c r="E760" s="101"/>
      <c r="F760" s="101"/>
      <c r="G760" s="101"/>
      <c r="H760" s="101"/>
      <c r="I760" s="101"/>
      <c r="J760" s="101"/>
    </row>
    <row r="761" spans="3:10" ht="16.5">
      <c r="C761" s="101"/>
      <c r="D761" s="101"/>
      <c r="E761" s="101"/>
      <c r="F761" s="101"/>
      <c r="G761" s="101"/>
      <c r="H761" s="101"/>
      <c r="I761" s="101"/>
      <c r="J761" s="101"/>
    </row>
    <row r="762" spans="3:10" ht="16.5">
      <c r="C762" s="101"/>
      <c r="D762" s="101"/>
      <c r="E762" s="101"/>
      <c r="F762" s="101"/>
      <c r="G762" s="101"/>
      <c r="H762" s="101"/>
      <c r="I762" s="101"/>
      <c r="J762" s="101"/>
    </row>
    <row r="763" spans="3:10" ht="16.5">
      <c r="C763" s="101"/>
      <c r="D763" s="101"/>
      <c r="E763" s="101"/>
      <c r="F763" s="101"/>
      <c r="G763" s="101"/>
      <c r="H763" s="101"/>
      <c r="I763" s="101"/>
      <c r="J763" s="101"/>
    </row>
    <row r="764" spans="3:10" ht="16.5">
      <c r="C764" s="101"/>
      <c r="D764" s="101"/>
      <c r="E764" s="101"/>
      <c r="F764" s="101"/>
      <c r="G764" s="101"/>
      <c r="H764" s="101"/>
      <c r="I764" s="101"/>
      <c r="J764" s="101"/>
    </row>
    <row r="765" spans="3:10" ht="16.5">
      <c r="C765" s="101"/>
      <c r="D765" s="101"/>
      <c r="E765" s="101"/>
      <c r="F765" s="101"/>
      <c r="G765" s="101"/>
      <c r="H765" s="101"/>
      <c r="I765" s="101"/>
      <c r="J765" s="101"/>
    </row>
    <row r="766" spans="3:10" ht="16.5">
      <c r="C766" s="101"/>
      <c r="D766" s="101"/>
      <c r="E766" s="101"/>
      <c r="F766" s="101"/>
      <c r="G766" s="101"/>
      <c r="H766" s="101"/>
      <c r="I766" s="101"/>
      <c r="J766" s="101"/>
    </row>
    <row r="767" spans="3:10" ht="16.5">
      <c r="C767" s="101"/>
      <c r="D767" s="101"/>
      <c r="E767" s="101"/>
      <c r="F767" s="101"/>
      <c r="G767" s="101"/>
      <c r="H767" s="101"/>
      <c r="I767" s="101"/>
      <c r="J767" s="101"/>
    </row>
    <row r="768" spans="3:10" ht="16.5">
      <c r="C768" s="101"/>
      <c r="D768" s="101"/>
      <c r="E768" s="101"/>
      <c r="F768" s="101"/>
      <c r="G768" s="101"/>
      <c r="H768" s="101"/>
      <c r="I768" s="101"/>
      <c r="J768" s="101"/>
    </row>
    <row r="769" spans="3:10" ht="16.5">
      <c r="C769" s="101"/>
      <c r="D769" s="101"/>
      <c r="E769" s="101"/>
      <c r="F769" s="101"/>
      <c r="G769" s="101"/>
      <c r="H769" s="101"/>
      <c r="I769" s="101"/>
      <c r="J769" s="101"/>
    </row>
    <row r="770" spans="3:10" ht="16.5">
      <c r="C770" s="101"/>
      <c r="D770" s="101"/>
      <c r="E770" s="101"/>
      <c r="F770" s="101"/>
      <c r="G770" s="101"/>
      <c r="H770" s="101"/>
      <c r="I770" s="101"/>
      <c r="J770" s="101"/>
    </row>
    <row r="771" spans="3:10" ht="16.5">
      <c r="C771" s="101"/>
      <c r="D771" s="101"/>
      <c r="E771" s="101"/>
      <c r="F771" s="101"/>
      <c r="G771" s="101"/>
      <c r="H771" s="101"/>
      <c r="I771" s="101"/>
      <c r="J771" s="101"/>
    </row>
    <row r="772" spans="3:10" ht="16.5">
      <c r="C772" s="101"/>
      <c r="D772" s="101"/>
      <c r="E772" s="101"/>
      <c r="F772" s="101"/>
      <c r="G772" s="101"/>
      <c r="H772" s="101"/>
      <c r="I772" s="101"/>
      <c r="J772" s="101"/>
    </row>
    <row r="773" spans="3:10" ht="16.5">
      <c r="C773" s="101"/>
      <c r="D773" s="101"/>
      <c r="E773" s="101"/>
      <c r="F773" s="101"/>
      <c r="G773" s="101"/>
      <c r="H773" s="101"/>
      <c r="I773" s="101"/>
      <c r="J773" s="101"/>
    </row>
    <row r="774" spans="3:10" ht="16.5">
      <c r="C774" s="101"/>
      <c r="D774" s="101"/>
      <c r="E774" s="101"/>
      <c r="F774" s="101"/>
      <c r="G774" s="101"/>
      <c r="H774" s="101"/>
      <c r="I774" s="101"/>
      <c r="J774" s="101"/>
    </row>
    <row r="775" spans="3:10" ht="16.5">
      <c r="C775" s="101"/>
      <c r="D775" s="101"/>
      <c r="E775" s="101"/>
      <c r="F775" s="101"/>
      <c r="G775" s="101"/>
      <c r="H775" s="101"/>
      <c r="I775" s="101"/>
      <c r="J775" s="101"/>
    </row>
    <row r="776" spans="3:10" ht="16.5">
      <c r="C776" s="101"/>
      <c r="D776" s="101"/>
      <c r="E776" s="101"/>
      <c r="F776" s="101"/>
      <c r="G776" s="101"/>
      <c r="H776" s="101"/>
      <c r="I776" s="101"/>
      <c r="J776" s="101"/>
    </row>
    <row r="777" spans="3:10" ht="16.5">
      <c r="C777" s="101"/>
      <c r="D777" s="101"/>
      <c r="E777" s="101"/>
      <c r="F777" s="101"/>
      <c r="G777" s="101"/>
      <c r="H777" s="101"/>
      <c r="I777" s="101"/>
      <c r="J777" s="101"/>
    </row>
    <row r="778" spans="3:10" ht="16.5">
      <c r="C778" s="101"/>
      <c r="D778" s="101"/>
      <c r="E778" s="101"/>
      <c r="F778" s="101"/>
      <c r="G778" s="101"/>
      <c r="H778" s="101"/>
      <c r="I778" s="101"/>
      <c r="J778" s="101"/>
    </row>
    <row r="779" spans="3:10" ht="16.5">
      <c r="C779" s="101"/>
      <c r="D779" s="101"/>
      <c r="E779" s="101"/>
      <c r="F779" s="101"/>
      <c r="G779" s="101"/>
      <c r="H779" s="101"/>
      <c r="I779" s="101"/>
      <c r="J779" s="101"/>
    </row>
    <row r="780" spans="3:10" ht="16.5">
      <c r="C780" s="101"/>
      <c r="D780" s="101"/>
      <c r="E780" s="101"/>
      <c r="F780" s="101"/>
      <c r="G780" s="101"/>
      <c r="H780" s="101"/>
      <c r="I780" s="101"/>
      <c r="J780" s="101"/>
    </row>
    <row r="781" spans="3:10" ht="16.5">
      <c r="C781" s="101"/>
      <c r="D781" s="101"/>
      <c r="E781" s="101"/>
      <c r="F781" s="101"/>
      <c r="G781" s="101"/>
      <c r="H781" s="101"/>
      <c r="I781" s="101"/>
      <c r="J781" s="101"/>
    </row>
    <row r="782" spans="3:10" ht="16.5">
      <c r="C782" s="101"/>
      <c r="D782" s="101"/>
      <c r="E782" s="101"/>
      <c r="F782" s="101"/>
      <c r="G782" s="101"/>
      <c r="H782" s="101"/>
      <c r="I782" s="101"/>
      <c r="J782" s="101"/>
    </row>
    <row r="783" spans="3:10" ht="16.5">
      <c r="C783" s="101"/>
      <c r="D783" s="101"/>
      <c r="E783" s="101"/>
      <c r="F783" s="101"/>
      <c r="G783" s="101"/>
      <c r="H783" s="101"/>
      <c r="I783" s="101"/>
      <c r="J783" s="101"/>
    </row>
    <row r="784" spans="3:10" ht="16.5">
      <c r="C784" s="101"/>
      <c r="D784" s="101"/>
      <c r="E784" s="101"/>
      <c r="F784" s="101"/>
      <c r="G784" s="101"/>
      <c r="H784" s="101"/>
      <c r="I784" s="101"/>
      <c r="J784" s="101"/>
    </row>
    <row r="785" spans="3:10" ht="16.5">
      <c r="C785" s="101"/>
      <c r="D785" s="101"/>
      <c r="E785" s="101"/>
      <c r="F785" s="101"/>
      <c r="G785" s="101"/>
      <c r="H785" s="101"/>
      <c r="I785" s="101"/>
      <c r="J785" s="101"/>
    </row>
    <row r="786" spans="3:10" ht="16.5">
      <c r="C786" s="101"/>
      <c r="D786" s="101"/>
      <c r="E786" s="101"/>
      <c r="F786" s="101"/>
      <c r="G786" s="101"/>
      <c r="H786" s="101"/>
      <c r="I786" s="101"/>
      <c r="J786" s="101"/>
    </row>
    <row r="787" spans="3:10" ht="16.5">
      <c r="C787" s="101"/>
      <c r="D787" s="101"/>
      <c r="E787" s="101"/>
      <c r="F787" s="101"/>
      <c r="G787" s="101"/>
      <c r="H787" s="101"/>
      <c r="I787" s="101"/>
      <c r="J787" s="101"/>
    </row>
    <row r="788" spans="3:10" ht="16.5">
      <c r="C788" s="101"/>
      <c r="D788" s="101"/>
      <c r="E788" s="101"/>
      <c r="F788" s="101"/>
      <c r="G788" s="101"/>
      <c r="H788" s="101"/>
      <c r="I788" s="101"/>
      <c r="J788" s="101"/>
    </row>
    <row r="789" spans="3:10" ht="16.5">
      <c r="C789" s="101"/>
      <c r="D789" s="101"/>
      <c r="E789" s="101"/>
      <c r="F789" s="101"/>
      <c r="G789" s="101"/>
      <c r="H789" s="101"/>
      <c r="I789" s="101"/>
      <c r="J789" s="101"/>
    </row>
    <row r="790" spans="3:10" ht="16.5">
      <c r="C790" s="101"/>
      <c r="D790" s="101"/>
      <c r="E790" s="101"/>
      <c r="F790" s="101"/>
      <c r="G790" s="101"/>
      <c r="H790" s="101"/>
      <c r="I790" s="101"/>
      <c r="J790" s="101"/>
    </row>
    <row r="791" spans="3:10" ht="16.5">
      <c r="C791" s="101"/>
      <c r="D791" s="101"/>
      <c r="E791" s="101"/>
      <c r="F791" s="101"/>
      <c r="G791" s="101"/>
      <c r="H791" s="101"/>
      <c r="I791" s="101"/>
      <c r="J791" s="101"/>
    </row>
    <row r="792" spans="3:10" ht="16.5">
      <c r="C792" s="101"/>
      <c r="D792" s="101"/>
      <c r="E792" s="101"/>
      <c r="F792" s="101"/>
      <c r="G792" s="101"/>
      <c r="H792" s="101"/>
      <c r="I792" s="101"/>
      <c r="J792" s="101"/>
    </row>
    <row r="793" spans="3:10" ht="16.5">
      <c r="C793" s="101"/>
      <c r="D793" s="101"/>
      <c r="E793" s="101"/>
      <c r="F793" s="101"/>
      <c r="G793" s="101"/>
      <c r="H793" s="101"/>
      <c r="I793" s="101"/>
      <c r="J793" s="101"/>
    </row>
    <row r="794" spans="3:10" ht="16.5">
      <c r="C794" s="101"/>
      <c r="D794" s="101"/>
      <c r="E794" s="101"/>
      <c r="F794" s="101"/>
      <c r="G794" s="101"/>
      <c r="H794" s="101"/>
      <c r="I794" s="101"/>
      <c r="J794" s="101"/>
    </row>
    <row r="795" spans="3:10" ht="16.5">
      <c r="C795" s="101"/>
      <c r="D795" s="101"/>
      <c r="E795" s="101"/>
      <c r="F795" s="101"/>
      <c r="G795" s="101"/>
      <c r="H795" s="101"/>
      <c r="I795" s="101"/>
      <c r="J795" s="101"/>
    </row>
    <row r="796" spans="3:10" ht="16.5">
      <c r="C796" s="101"/>
      <c r="D796" s="101"/>
      <c r="E796" s="101"/>
      <c r="F796" s="101"/>
      <c r="G796" s="101"/>
      <c r="H796" s="101"/>
      <c r="I796" s="101"/>
      <c r="J796" s="101"/>
    </row>
    <row r="797" spans="3:10" ht="16.5">
      <c r="C797" s="101"/>
      <c r="D797" s="101"/>
      <c r="E797" s="101"/>
      <c r="F797" s="101"/>
      <c r="G797" s="101"/>
      <c r="H797" s="101"/>
      <c r="I797" s="101"/>
      <c r="J797" s="101"/>
    </row>
    <row r="798" spans="3:10" ht="16.5">
      <c r="C798" s="101"/>
      <c r="D798" s="101"/>
      <c r="E798" s="101"/>
      <c r="F798" s="101"/>
      <c r="G798" s="101"/>
      <c r="H798" s="101"/>
      <c r="I798" s="101"/>
      <c r="J798" s="101"/>
    </row>
    <row r="799" spans="3:10" ht="16.5">
      <c r="C799" s="101"/>
      <c r="D799" s="101"/>
      <c r="E799" s="101"/>
      <c r="F799" s="101"/>
      <c r="G799" s="101"/>
      <c r="H799" s="101"/>
      <c r="I799" s="101"/>
      <c r="J799" s="101"/>
    </row>
    <row r="800" spans="3:10" ht="16.5">
      <c r="C800" s="101"/>
      <c r="D800" s="101"/>
      <c r="E800" s="101"/>
      <c r="F800" s="101"/>
      <c r="G800" s="101"/>
      <c r="H800" s="101"/>
      <c r="I800" s="101"/>
      <c r="J800" s="101"/>
    </row>
    <row r="801" spans="3:10" ht="16.5">
      <c r="C801" s="101"/>
      <c r="D801" s="101"/>
      <c r="E801" s="101"/>
      <c r="F801" s="101"/>
      <c r="G801" s="101"/>
      <c r="H801" s="101"/>
      <c r="I801" s="101"/>
      <c r="J801" s="101"/>
    </row>
    <row r="802" spans="3:10" ht="16.5">
      <c r="C802" s="101"/>
      <c r="D802" s="101"/>
      <c r="E802" s="101"/>
      <c r="F802" s="101"/>
      <c r="G802" s="101"/>
      <c r="H802" s="101"/>
      <c r="I802" s="101"/>
      <c r="J802" s="101"/>
    </row>
    <row r="803" spans="3:10" ht="16.5">
      <c r="C803" s="101"/>
      <c r="D803" s="101"/>
      <c r="E803" s="101"/>
      <c r="F803" s="101"/>
      <c r="G803" s="101"/>
      <c r="H803" s="101"/>
      <c r="I803" s="101"/>
      <c r="J803" s="101"/>
    </row>
    <row r="804" spans="3:10" ht="16.5">
      <c r="C804" s="101"/>
      <c r="D804" s="101"/>
      <c r="E804" s="101"/>
      <c r="F804" s="101"/>
      <c r="G804" s="101"/>
      <c r="H804" s="101"/>
      <c r="I804" s="101"/>
      <c r="J804" s="101"/>
    </row>
    <row r="805" spans="3:10" ht="16.5">
      <c r="C805" s="101"/>
      <c r="D805" s="101"/>
      <c r="E805" s="101"/>
      <c r="F805" s="101"/>
      <c r="G805" s="101"/>
      <c r="H805" s="101"/>
      <c r="I805" s="101"/>
      <c r="J805" s="101"/>
    </row>
    <row r="806" spans="3:10" ht="16.5">
      <c r="C806" s="101"/>
      <c r="D806" s="101"/>
      <c r="E806" s="101"/>
      <c r="F806" s="101"/>
      <c r="G806" s="101"/>
      <c r="H806" s="101"/>
      <c r="I806" s="101"/>
      <c r="J806" s="101"/>
    </row>
    <row r="807" spans="3:10" ht="16.5">
      <c r="C807" s="101"/>
      <c r="D807" s="101"/>
      <c r="E807" s="101"/>
      <c r="F807" s="101"/>
      <c r="G807" s="101"/>
      <c r="H807" s="101"/>
      <c r="I807" s="101"/>
      <c r="J807" s="101"/>
    </row>
    <row r="808" spans="3:10" ht="16.5">
      <c r="C808" s="101"/>
      <c r="D808" s="101"/>
      <c r="E808" s="101"/>
      <c r="F808" s="101"/>
      <c r="G808" s="101"/>
      <c r="H808" s="101"/>
      <c r="I808" s="101"/>
      <c r="J808" s="101"/>
    </row>
    <row r="809" spans="3:10" ht="16.5">
      <c r="C809" s="101"/>
      <c r="D809" s="101"/>
      <c r="E809" s="101"/>
      <c r="F809" s="101"/>
      <c r="G809" s="101"/>
      <c r="H809" s="101"/>
      <c r="I809" s="101"/>
      <c r="J809" s="101"/>
    </row>
    <row r="810" spans="3:10" ht="16.5">
      <c r="C810" s="101"/>
      <c r="D810" s="101"/>
      <c r="E810" s="101"/>
      <c r="F810" s="101"/>
      <c r="G810" s="101"/>
      <c r="H810" s="101"/>
      <c r="I810" s="101"/>
      <c r="J810" s="101"/>
    </row>
    <row r="811" spans="3:10" ht="16.5">
      <c r="C811" s="101"/>
      <c r="D811" s="101"/>
      <c r="E811" s="101"/>
      <c r="F811" s="101"/>
      <c r="G811" s="101"/>
      <c r="H811" s="101"/>
      <c r="I811" s="101"/>
      <c r="J811" s="101"/>
    </row>
    <row r="812" spans="3:10" ht="16.5">
      <c r="C812" s="101"/>
      <c r="D812" s="101"/>
      <c r="E812" s="101"/>
      <c r="F812" s="101"/>
      <c r="G812" s="101"/>
      <c r="H812" s="101"/>
      <c r="I812" s="101"/>
      <c r="J812" s="101"/>
    </row>
    <row r="813" spans="3:10" ht="16.5">
      <c r="C813" s="101"/>
      <c r="D813" s="101"/>
      <c r="E813" s="101"/>
      <c r="F813" s="101"/>
      <c r="G813" s="101"/>
      <c r="H813" s="101"/>
      <c r="I813" s="101"/>
      <c r="J813" s="101"/>
    </row>
    <row r="814" spans="3:10" ht="16.5">
      <c r="C814" s="101"/>
      <c r="D814" s="101"/>
      <c r="E814" s="101"/>
      <c r="F814" s="101"/>
      <c r="G814" s="101"/>
      <c r="H814" s="101"/>
      <c r="I814" s="101"/>
      <c r="J814" s="101"/>
    </row>
    <row r="815" spans="3:10" ht="16.5">
      <c r="C815" s="101"/>
      <c r="D815" s="101"/>
      <c r="E815" s="101"/>
      <c r="F815" s="101"/>
      <c r="G815" s="101"/>
      <c r="H815" s="101"/>
      <c r="I815" s="101"/>
      <c r="J815" s="101"/>
    </row>
    <row r="816" spans="3:10" ht="16.5">
      <c r="C816" s="101"/>
      <c r="D816" s="101"/>
      <c r="E816" s="101"/>
      <c r="F816" s="101"/>
      <c r="G816" s="101"/>
      <c r="H816" s="101"/>
      <c r="I816" s="101"/>
      <c r="J816" s="101"/>
    </row>
    <row r="817" spans="3:10" ht="16.5">
      <c r="C817" s="101"/>
      <c r="D817" s="101"/>
      <c r="E817" s="101"/>
      <c r="F817" s="101"/>
      <c r="G817" s="101"/>
      <c r="H817" s="101"/>
      <c r="I817" s="101"/>
      <c r="J817" s="101"/>
    </row>
    <row r="818" spans="3:10" ht="16.5">
      <c r="C818" s="101"/>
      <c r="D818" s="101"/>
      <c r="E818" s="101"/>
      <c r="F818" s="101"/>
      <c r="G818" s="101"/>
      <c r="H818" s="101"/>
      <c r="I818" s="101"/>
      <c r="J818" s="101"/>
    </row>
    <row r="819" spans="3:10" ht="16.5">
      <c r="C819" s="101"/>
      <c r="D819" s="101"/>
      <c r="E819" s="101"/>
      <c r="F819" s="101"/>
      <c r="G819" s="101"/>
      <c r="H819" s="101"/>
      <c r="I819" s="101"/>
      <c r="J819" s="101"/>
    </row>
    <row r="820" spans="3:10" ht="16.5">
      <c r="C820" s="101"/>
      <c r="D820" s="101"/>
      <c r="E820" s="101"/>
      <c r="F820" s="101"/>
      <c r="G820" s="101"/>
      <c r="H820" s="101"/>
      <c r="I820" s="101"/>
      <c r="J820" s="101"/>
    </row>
    <row r="821" spans="3:10" ht="16.5">
      <c r="C821" s="101"/>
      <c r="D821" s="101"/>
      <c r="E821" s="101"/>
      <c r="F821" s="101"/>
      <c r="G821" s="101"/>
      <c r="H821" s="101"/>
      <c r="I821" s="101"/>
      <c r="J821" s="101"/>
    </row>
    <row r="822" spans="3:10" ht="16.5">
      <c r="C822" s="101"/>
      <c r="D822" s="101"/>
      <c r="E822" s="101"/>
      <c r="F822" s="101"/>
      <c r="G822" s="101"/>
      <c r="H822" s="101"/>
      <c r="I822" s="101"/>
      <c r="J822" s="101"/>
    </row>
    <row r="823" spans="3:10" ht="16.5">
      <c r="C823" s="101"/>
      <c r="D823" s="101"/>
      <c r="E823" s="101"/>
      <c r="F823" s="101"/>
      <c r="G823" s="101"/>
      <c r="H823" s="101"/>
      <c r="I823" s="101"/>
      <c r="J823" s="101"/>
    </row>
    <row r="824" spans="3:10" ht="16.5">
      <c r="C824" s="101"/>
      <c r="D824" s="101"/>
      <c r="E824" s="101"/>
      <c r="F824" s="101"/>
      <c r="G824" s="101"/>
      <c r="H824" s="101"/>
      <c r="I824" s="101"/>
      <c r="J824" s="101"/>
    </row>
    <row r="825" spans="3:10" ht="16.5">
      <c r="C825" s="101"/>
      <c r="D825" s="101"/>
      <c r="E825" s="101"/>
      <c r="F825" s="101"/>
      <c r="G825" s="101"/>
      <c r="H825" s="101"/>
      <c r="I825" s="101"/>
      <c r="J825" s="101"/>
    </row>
    <row r="826" spans="3:10" ht="16.5">
      <c r="C826" s="101"/>
      <c r="D826" s="101"/>
      <c r="E826" s="101"/>
      <c r="F826" s="101"/>
      <c r="G826" s="101"/>
      <c r="H826" s="101"/>
      <c r="I826" s="101"/>
      <c r="J826" s="101"/>
    </row>
    <row r="827" spans="3:10" ht="16.5">
      <c r="C827" s="101"/>
      <c r="D827" s="101"/>
      <c r="E827" s="101"/>
      <c r="F827" s="101"/>
      <c r="G827" s="101"/>
      <c r="H827" s="101"/>
      <c r="I827" s="101"/>
      <c r="J827" s="101"/>
    </row>
    <row r="828" spans="3:10" ht="16.5">
      <c r="C828" s="101"/>
      <c r="D828" s="101"/>
      <c r="E828" s="101"/>
      <c r="F828" s="101"/>
      <c r="G828" s="101"/>
      <c r="H828" s="101"/>
      <c r="I828" s="101"/>
      <c r="J828" s="101"/>
    </row>
    <row r="829" spans="3:10" ht="16.5">
      <c r="C829" s="101"/>
      <c r="D829" s="101"/>
      <c r="E829" s="101"/>
      <c r="F829" s="101"/>
      <c r="G829" s="101"/>
      <c r="H829" s="101"/>
      <c r="I829" s="101"/>
      <c r="J829" s="101"/>
    </row>
    <row r="830" spans="3:10" ht="16.5">
      <c r="C830" s="101"/>
      <c r="D830" s="101"/>
      <c r="E830" s="101"/>
      <c r="F830" s="101"/>
      <c r="G830" s="101"/>
      <c r="H830" s="101"/>
      <c r="I830" s="101"/>
      <c r="J830" s="101"/>
    </row>
    <row r="831" spans="3:10" ht="16.5">
      <c r="C831" s="101"/>
      <c r="D831" s="101"/>
      <c r="E831" s="101"/>
      <c r="F831" s="101"/>
      <c r="G831" s="101"/>
      <c r="H831" s="101"/>
      <c r="I831" s="101"/>
      <c r="J831" s="101"/>
    </row>
    <row r="832" spans="3:10" ht="16.5">
      <c r="C832" s="101"/>
      <c r="D832" s="101"/>
      <c r="E832" s="101"/>
      <c r="F832" s="101"/>
      <c r="G832" s="101"/>
      <c r="H832" s="101"/>
      <c r="I832" s="101"/>
      <c r="J832" s="101"/>
    </row>
    <row r="833" spans="3:10" ht="16.5">
      <c r="C833" s="101"/>
      <c r="D833" s="101"/>
      <c r="E833" s="101"/>
      <c r="F833" s="101"/>
      <c r="G833" s="101"/>
      <c r="H833" s="101"/>
      <c r="I833" s="101"/>
      <c r="J833" s="101"/>
    </row>
    <row r="834" spans="3:10" ht="16.5">
      <c r="C834" s="101"/>
      <c r="D834" s="101"/>
      <c r="E834" s="101"/>
      <c r="F834" s="101"/>
      <c r="G834" s="101"/>
      <c r="H834" s="101"/>
      <c r="I834" s="101"/>
      <c r="J834" s="101"/>
    </row>
    <row r="835" spans="3:10" ht="16.5">
      <c r="C835" s="101"/>
      <c r="D835" s="101"/>
      <c r="E835" s="101"/>
      <c r="F835" s="101"/>
      <c r="G835" s="101"/>
      <c r="H835" s="101"/>
      <c r="I835" s="101"/>
      <c r="J835" s="101"/>
    </row>
    <row r="836" spans="3:10" ht="16.5">
      <c r="C836" s="101"/>
      <c r="D836" s="101"/>
      <c r="E836" s="101"/>
      <c r="F836" s="101"/>
      <c r="G836" s="101"/>
      <c r="H836" s="101"/>
      <c r="I836" s="101"/>
      <c r="J836" s="101"/>
    </row>
    <row r="837" spans="3:10" ht="16.5">
      <c r="C837" s="101"/>
      <c r="D837" s="101"/>
      <c r="E837" s="101"/>
      <c r="F837" s="101"/>
      <c r="G837" s="101"/>
      <c r="H837" s="101"/>
      <c r="I837" s="101"/>
      <c r="J837" s="101"/>
    </row>
    <row r="838" spans="3:10" ht="16.5">
      <c r="C838" s="101"/>
      <c r="D838" s="101"/>
      <c r="E838" s="101"/>
      <c r="F838" s="101"/>
      <c r="G838" s="101"/>
      <c r="H838" s="101"/>
      <c r="I838" s="101"/>
      <c r="J838" s="101"/>
    </row>
    <row r="839" spans="3:10" ht="16.5">
      <c r="C839" s="101"/>
      <c r="D839" s="101"/>
      <c r="E839" s="101"/>
      <c r="F839" s="101"/>
      <c r="G839" s="101"/>
      <c r="H839" s="101"/>
      <c r="I839" s="101"/>
      <c r="J839" s="101"/>
    </row>
    <row r="840" spans="3:10" ht="16.5">
      <c r="C840" s="101"/>
      <c r="D840" s="101"/>
      <c r="E840" s="101"/>
      <c r="F840" s="101"/>
      <c r="G840" s="101"/>
      <c r="H840" s="101"/>
      <c r="I840" s="101"/>
      <c r="J840" s="101"/>
    </row>
    <row r="841" spans="3:10" ht="16.5">
      <c r="C841" s="101"/>
      <c r="D841" s="101"/>
      <c r="E841" s="101"/>
      <c r="F841" s="101"/>
      <c r="G841" s="101"/>
      <c r="H841" s="101"/>
      <c r="I841" s="101"/>
      <c r="J841" s="101"/>
    </row>
    <row r="842" spans="3:10" ht="16.5">
      <c r="C842" s="101"/>
      <c r="D842" s="101"/>
      <c r="E842" s="101"/>
      <c r="F842" s="101"/>
      <c r="G842" s="101"/>
      <c r="H842" s="101"/>
      <c r="I842" s="101"/>
      <c r="J842" s="101"/>
    </row>
    <row r="843" spans="3:10" ht="16.5">
      <c r="C843" s="101"/>
      <c r="D843" s="101"/>
      <c r="E843" s="101"/>
      <c r="F843" s="101"/>
      <c r="G843" s="101"/>
      <c r="H843" s="101"/>
      <c r="I843" s="101"/>
      <c r="J843" s="101"/>
    </row>
    <row r="844" spans="3:10" ht="16.5">
      <c r="C844" s="101"/>
      <c r="D844" s="101"/>
      <c r="E844" s="101"/>
      <c r="F844" s="101"/>
      <c r="G844" s="101"/>
      <c r="H844" s="101"/>
      <c r="I844" s="101"/>
      <c r="J844" s="101"/>
    </row>
    <row r="845" spans="3:10" ht="16.5">
      <c r="C845" s="101"/>
      <c r="D845" s="101"/>
      <c r="E845" s="101"/>
      <c r="F845" s="101"/>
      <c r="G845" s="101"/>
      <c r="H845" s="101"/>
      <c r="I845" s="101"/>
      <c r="J845" s="101"/>
    </row>
    <row r="846" spans="3:10" ht="16.5">
      <c r="C846" s="101"/>
      <c r="D846" s="101"/>
      <c r="E846" s="101"/>
      <c r="F846" s="101"/>
      <c r="G846" s="101"/>
      <c r="H846" s="101"/>
      <c r="I846" s="101"/>
      <c r="J846" s="101"/>
    </row>
    <row r="847" spans="3:10" ht="16.5">
      <c r="C847" s="101"/>
      <c r="D847" s="101"/>
      <c r="E847" s="101"/>
      <c r="F847" s="101"/>
      <c r="G847" s="101"/>
      <c r="H847" s="101"/>
      <c r="I847" s="101"/>
      <c r="J847" s="101"/>
    </row>
    <row r="848" spans="3:10" ht="16.5">
      <c r="C848" s="101"/>
      <c r="D848" s="101"/>
      <c r="E848" s="101"/>
      <c r="F848" s="101"/>
      <c r="G848" s="101"/>
      <c r="H848" s="101"/>
      <c r="I848" s="101"/>
      <c r="J848" s="101"/>
    </row>
    <row r="849" spans="3:10" ht="16.5">
      <c r="C849" s="101"/>
      <c r="D849" s="101"/>
      <c r="E849" s="101"/>
      <c r="F849" s="101"/>
      <c r="G849" s="101"/>
      <c r="H849" s="101"/>
      <c r="I849" s="101"/>
      <c r="J849" s="101"/>
    </row>
    <row r="850" spans="3:10" ht="16.5">
      <c r="C850" s="101"/>
      <c r="D850" s="101"/>
      <c r="E850" s="101"/>
      <c r="F850" s="101"/>
      <c r="G850" s="101"/>
      <c r="H850" s="101"/>
      <c r="I850" s="101"/>
      <c r="J850" s="101"/>
    </row>
    <row r="851" spans="3:10" ht="16.5">
      <c r="C851" s="101"/>
      <c r="D851" s="101"/>
      <c r="E851" s="101"/>
      <c r="F851" s="101"/>
      <c r="G851" s="101"/>
      <c r="H851" s="101"/>
      <c r="I851" s="101"/>
      <c r="J851" s="101"/>
    </row>
    <row r="852" spans="3:10" ht="16.5">
      <c r="C852" s="101"/>
      <c r="D852" s="101"/>
      <c r="E852" s="101"/>
      <c r="F852" s="101"/>
      <c r="G852" s="101"/>
      <c r="H852" s="101"/>
      <c r="I852" s="101"/>
      <c r="J852" s="101"/>
    </row>
    <row r="853" spans="3:10" ht="16.5">
      <c r="C853" s="101"/>
      <c r="D853" s="101"/>
      <c r="E853" s="101"/>
      <c r="F853" s="101"/>
      <c r="G853" s="101"/>
      <c r="H853" s="101"/>
      <c r="I853" s="101"/>
      <c r="J853" s="101"/>
    </row>
    <row r="854" spans="3:10" ht="16.5">
      <c r="C854" s="101"/>
      <c r="D854" s="101"/>
      <c r="E854" s="101"/>
      <c r="F854" s="101"/>
      <c r="G854" s="101"/>
      <c r="H854" s="101"/>
      <c r="I854" s="101"/>
      <c r="J854" s="101"/>
    </row>
    <row r="855" spans="3:10" ht="16.5">
      <c r="C855" s="101"/>
      <c r="D855" s="101"/>
      <c r="E855" s="101"/>
      <c r="F855" s="101"/>
      <c r="G855" s="101"/>
      <c r="H855" s="101"/>
      <c r="I855" s="101"/>
      <c r="J855" s="101"/>
    </row>
    <row r="856" spans="3:10" ht="16.5">
      <c r="C856" s="101"/>
      <c r="D856" s="101"/>
      <c r="E856" s="101"/>
      <c r="F856" s="101"/>
      <c r="G856" s="101"/>
      <c r="H856" s="101"/>
      <c r="I856" s="101"/>
      <c r="J856" s="101"/>
    </row>
    <row r="857" spans="3:10" ht="16.5">
      <c r="C857" s="101"/>
      <c r="D857" s="101"/>
      <c r="E857" s="101"/>
      <c r="F857" s="101"/>
      <c r="G857" s="101"/>
      <c r="H857" s="101"/>
      <c r="I857" s="101"/>
      <c r="J857" s="101"/>
    </row>
    <row r="858" spans="3:10" ht="16.5">
      <c r="C858" s="101"/>
      <c r="D858" s="101"/>
      <c r="E858" s="101"/>
      <c r="F858" s="101"/>
      <c r="G858" s="101"/>
      <c r="H858" s="101"/>
      <c r="I858" s="101"/>
      <c r="J858" s="101"/>
    </row>
    <row r="859" spans="3:10" ht="16.5">
      <c r="C859" s="101"/>
      <c r="D859" s="101"/>
      <c r="E859" s="101"/>
      <c r="F859" s="101"/>
      <c r="G859" s="101"/>
      <c r="H859" s="101"/>
      <c r="I859" s="101"/>
      <c r="J859" s="101"/>
    </row>
    <row r="860" spans="3:10" ht="16.5">
      <c r="C860" s="101"/>
      <c r="D860" s="101"/>
      <c r="E860" s="101"/>
      <c r="F860" s="101"/>
      <c r="G860" s="101"/>
      <c r="H860" s="101"/>
      <c r="I860" s="101"/>
      <c r="J860" s="101"/>
    </row>
    <row r="861" spans="3:10" ht="16.5">
      <c r="C861" s="101"/>
      <c r="D861" s="101"/>
      <c r="E861" s="101"/>
      <c r="F861" s="101"/>
      <c r="G861" s="101"/>
      <c r="H861" s="101"/>
      <c r="I861" s="101"/>
      <c r="J861" s="101"/>
    </row>
    <row r="862" spans="3:10" ht="16.5">
      <c r="C862" s="101"/>
      <c r="D862" s="101"/>
      <c r="E862" s="101"/>
      <c r="F862" s="101"/>
      <c r="G862" s="101"/>
      <c r="H862" s="101"/>
      <c r="I862" s="101"/>
      <c r="J862" s="101"/>
    </row>
    <row r="863" spans="3:10" ht="16.5">
      <c r="C863" s="101"/>
      <c r="D863" s="101"/>
      <c r="E863" s="101"/>
      <c r="F863" s="101"/>
      <c r="G863" s="101"/>
      <c r="H863" s="101"/>
      <c r="I863" s="101"/>
      <c r="J863" s="101"/>
    </row>
    <row r="864" spans="3:10" ht="16.5">
      <c r="C864" s="101"/>
      <c r="D864" s="101"/>
      <c r="E864" s="101"/>
      <c r="F864" s="101"/>
      <c r="G864" s="101"/>
      <c r="H864" s="101"/>
      <c r="I864" s="101"/>
      <c r="J864" s="101"/>
    </row>
    <row r="865" spans="3:10" ht="16.5">
      <c r="C865" s="101"/>
      <c r="D865" s="101"/>
      <c r="E865" s="101"/>
      <c r="F865" s="101"/>
      <c r="G865" s="101"/>
      <c r="H865" s="101"/>
      <c r="I865" s="101"/>
      <c r="J865" s="101"/>
    </row>
    <row r="866" spans="3:10" ht="16.5">
      <c r="C866" s="101"/>
      <c r="D866" s="101"/>
      <c r="E866" s="101"/>
      <c r="F866" s="101"/>
      <c r="G866" s="101"/>
      <c r="H866" s="101"/>
      <c r="I866" s="101"/>
      <c r="J866" s="101"/>
    </row>
    <row r="867" spans="3:10" ht="16.5">
      <c r="C867" s="101"/>
      <c r="D867" s="101"/>
      <c r="E867" s="101"/>
      <c r="F867" s="101"/>
      <c r="G867" s="101"/>
      <c r="H867" s="101"/>
      <c r="I867" s="101"/>
      <c r="J867" s="101"/>
    </row>
    <row r="868" spans="3:10" ht="16.5">
      <c r="C868" s="101"/>
      <c r="D868" s="101"/>
      <c r="E868" s="101"/>
      <c r="F868" s="101"/>
      <c r="G868" s="101"/>
      <c r="H868" s="101"/>
      <c r="I868" s="101"/>
      <c r="J868" s="101"/>
    </row>
    <row r="869" spans="3:10" ht="16.5">
      <c r="C869" s="101"/>
      <c r="D869" s="101"/>
      <c r="E869" s="101"/>
      <c r="F869" s="101"/>
      <c r="G869" s="101"/>
      <c r="H869" s="101"/>
      <c r="I869" s="101"/>
      <c r="J869" s="101"/>
    </row>
    <row r="870" spans="3:10" ht="16.5">
      <c r="C870" s="101"/>
      <c r="D870" s="101"/>
      <c r="E870" s="101"/>
      <c r="F870" s="101"/>
      <c r="G870" s="101"/>
      <c r="H870" s="101"/>
      <c r="I870" s="101"/>
      <c r="J870" s="101"/>
    </row>
    <row r="871" spans="3:10" ht="16.5">
      <c r="C871" s="101"/>
      <c r="D871" s="101"/>
      <c r="E871" s="101"/>
      <c r="F871" s="101"/>
      <c r="G871" s="101"/>
      <c r="H871" s="101"/>
      <c r="I871" s="101"/>
      <c r="J871" s="101"/>
    </row>
    <row r="872" spans="3:10" ht="16.5">
      <c r="C872" s="101"/>
      <c r="D872" s="101"/>
      <c r="E872" s="101"/>
      <c r="F872" s="101"/>
      <c r="G872" s="101"/>
      <c r="H872" s="101"/>
      <c r="I872" s="101"/>
      <c r="J872" s="101"/>
    </row>
    <row r="873" spans="3:10" ht="16.5">
      <c r="C873" s="101"/>
      <c r="D873" s="101"/>
      <c r="E873" s="101"/>
      <c r="F873" s="101"/>
      <c r="G873" s="101"/>
      <c r="H873" s="101"/>
      <c r="I873" s="101"/>
      <c r="J873" s="101"/>
    </row>
    <row r="874" spans="3:10" ht="16.5">
      <c r="C874" s="101"/>
      <c r="D874" s="101"/>
      <c r="E874" s="101"/>
      <c r="F874" s="101"/>
      <c r="G874" s="101"/>
      <c r="H874" s="101"/>
      <c r="I874" s="101"/>
      <c r="J874" s="101"/>
    </row>
    <row r="875" spans="3:10" ht="16.5">
      <c r="C875" s="101"/>
      <c r="D875" s="101"/>
      <c r="E875" s="101"/>
      <c r="F875" s="101"/>
      <c r="G875" s="101"/>
      <c r="H875" s="101"/>
      <c r="I875" s="101"/>
      <c r="J875" s="101"/>
    </row>
    <row r="876" spans="3:10" ht="16.5">
      <c r="C876" s="101"/>
      <c r="D876" s="101"/>
      <c r="E876" s="101"/>
      <c r="F876" s="101"/>
      <c r="G876" s="101"/>
      <c r="H876" s="101"/>
      <c r="I876" s="101"/>
      <c r="J876" s="101"/>
    </row>
    <row r="877" spans="3:10" ht="16.5">
      <c r="C877" s="101"/>
      <c r="D877" s="101"/>
      <c r="E877" s="101"/>
      <c r="F877" s="101"/>
      <c r="G877" s="101"/>
      <c r="H877" s="101"/>
      <c r="I877" s="101"/>
      <c r="J877" s="101"/>
    </row>
    <row r="878" spans="3:10" ht="16.5">
      <c r="C878" s="101"/>
      <c r="D878" s="101"/>
      <c r="E878" s="101"/>
      <c r="F878" s="101"/>
      <c r="G878" s="101"/>
      <c r="H878" s="101"/>
      <c r="I878" s="101"/>
      <c r="J878" s="101"/>
    </row>
    <row r="879" spans="3:10" ht="16.5">
      <c r="C879" s="101"/>
      <c r="D879" s="101"/>
      <c r="E879" s="101"/>
      <c r="F879" s="101"/>
      <c r="G879" s="101"/>
      <c r="H879" s="101"/>
      <c r="I879" s="101"/>
      <c r="J879" s="101"/>
    </row>
    <row r="880" spans="3:10" ht="16.5">
      <c r="C880" s="101"/>
      <c r="D880" s="101"/>
      <c r="E880" s="101"/>
      <c r="F880" s="101"/>
      <c r="G880" s="101"/>
      <c r="H880" s="101"/>
      <c r="I880" s="101"/>
      <c r="J880" s="101"/>
    </row>
    <row r="881" spans="3:10" ht="16.5">
      <c r="C881" s="101"/>
      <c r="D881" s="101"/>
      <c r="E881" s="101"/>
      <c r="F881" s="101"/>
      <c r="G881" s="101"/>
      <c r="H881" s="101"/>
      <c r="I881" s="101"/>
      <c r="J881" s="101"/>
    </row>
    <row r="882" spans="3:10" ht="16.5">
      <c r="C882" s="101"/>
      <c r="D882" s="101"/>
      <c r="E882" s="101"/>
      <c r="F882" s="101"/>
      <c r="G882" s="101"/>
      <c r="H882" s="101"/>
      <c r="I882" s="101"/>
      <c r="J882" s="101"/>
    </row>
    <row r="883" spans="3:10" ht="16.5">
      <c r="C883" s="101"/>
      <c r="D883" s="101"/>
      <c r="E883" s="101"/>
      <c r="F883" s="101"/>
      <c r="G883" s="101"/>
      <c r="H883" s="101"/>
      <c r="I883" s="101"/>
      <c r="J883" s="101"/>
    </row>
    <row r="884" spans="3:10" ht="16.5">
      <c r="C884" s="101"/>
      <c r="D884" s="101"/>
      <c r="E884" s="101"/>
      <c r="F884" s="101"/>
      <c r="G884" s="101"/>
      <c r="H884" s="101"/>
      <c r="I884" s="101"/>
      <c r="J884" s="101"/>
    </row>
    <row r="885" spans="3:10" ht="16.5">
      <c r="C885" s="101"/>
      <c r="D885" s="101"/>
      <c r="E885" s="101"/>
      <c r="F885" s="101"/>
      <c r="G885" s="101"/>
      <c r="H885" s="101"/>
      <c r="I885" s="101"/>
      <c r="J885" s="101"/>
    </row>
    <row r="886" spans="3:10" ht="16.5">
      <c r="C886" s="101"/>
      <c r="D886" s="101"/>
      <c r="E886" s="101"/>
      <c r="F886" s="101"/>
      <c r="G886" s="101"/>
      <c r="H886" s="101"/>
      <c r="I886" s="101"/>
      <c r="J886" s="101"/>
    </row>
    <row r="887" spans="3:10" ht="16.5">
      <c r="C887" s="101"/>
      <c r="D887" s="101"/>
      <c r="E887" s="101"/>
      <c r="F887" s="101"/>
      <c r="G887" s="101"/>
      <c r="H887" s="101"/>
      <c r="I887" s="101"/>
      <c r="J887" s="101"/>
    </row>
    <row r="888" spans="3:10" ht="16.5">
      <c r="C888" s="101"/>
      <c r="D888" s="101"/>
      <c r="E888" s="101"/>
      <c r="F888" s="101"/>
      <c r="G888" s="101"/>
      <c r="H888" s="101"/>
      <c r="I888" s="101"/>
      <c r="J888" s="101"/>
    </row>
    <row r="889" spans="3:10" ht="16.5">
      <c r="C889" s="101"/>
      <c r="D889" s="101"/>
      <c r="E889" s="101"/>
      <c r="F889" s="101"/>
      <c r="G889" s="101"/>
      <c r="H889" s="101"/>
      <c r="I889" s="101"/>
      <c r="J889" s="101"/>
    </row>
    <row r="890" spans="3:10" ht="16.5">
      <c r="C890" s="101"/>
      <c r="D890" s="101"/>
      <c r="E890" s="101"/>
      <c r="F890" s="101"/>
      <c r="G890" s="101"/>
      <c r="H890" s="101"/>
      <c r="I890" s="101"/>
      <c r="J890" s="101"/>
    </row>
    <row r="891" spans="3:10" ht="16.5">
      <c r="C891" s="101"/>
      <c r="D891" s="101"/>
      <c r="E891" s="101"/>
      <c r="F891" s="101"/>
      <c r="G891" s="101"/>
      <c r="H891" s="101"/>
      <c r="I891" s="101"/>
      <c r="J891" s="101"/>
    </row>
    <row r="892" spans="3:10" ht="16.5">
      <c r="C892" s="101"/>
      <c r="D892" s="101"/>
      <c r="E892" s="101"/>
      <c r="F892" s="101"/>
      <c r="G892" s="101"/>
      <c r="H892" s="101"/>
      <c r="I892" s="101"/>
      <c r="J892" s="101"/>
    </row>
    <row r="893" spans="3:10" ht="16.5">
      <c r="C893" s="101"/>
      <c r="D893" s="101"/>
      <c r="E893" s="101"/>
      <c r="F893" s="101"/>
      <c r="G893" s="101"/>
      <c r="H893" s="101"/>
      <c r="I893" s="101"/>
      <c r="J893" s="101"/>
    </row>
    <row r="894" spans="3:10" ht="16.5">
      <c r="C894" s="101"/>
      <c r="D894" s="101"/>
      <c r="E894" s="101"/>
      <c r="F894" s="101"/>
      <c r="G894" s="101"/>
      <c r="H894" s="101"/>
      <c r="I894" s="101"/>
      <c r="J894" s="101"/>
    </row>
    <row r="895" spans="3:10" ht="16.5">
      <c r="C895" s="101"/>
      <c r="D895" s="101"/>
      <c r="E895" s="101"/>
      <c r="F895" s="101"/>
      <c r="G895" s="101"/>
      <c r="H895" s="101"/>
      <c r="I895" s="101"/>
      <c r="J895" s="101"/>
    </row>
    <row r="896" spans="3:10" ht="16.5">
      <c r="C896" s="101"/>
      <c r="D896" s="101"/>
      <c r="E896" s="101"/>
      <c r="F896" s="101"/>
      <c r="G896" s="101"/>
      <c r="H896" s="101"/>
      <c r="I896" s="101"/>
      <c r="J896" s="101"/>
    </row>
    <row r="897" spans="3:10" ht="16.5">
      <c r="C897" s="101"/>
      <c r="D897" s="101"/>
      <c r="E897" s="101"/>
      <c r="F897" s="101"/>
      <c r="G897" s="101"/>
      <c r="H897" s="101"/>
      <c r="I897" s="101"/>
      <c r="J897" s="101"/>
    </row>
    <row r="898" spans="3:10" ht="16.5">
      <c r="C898" s="101"/>
      <c r="D898" s="101"/>
      <c r="E898" s="101"/>
      <c r="F898" s="101"/>
      <c r="G898" s="101"/>
      <c r="H898" s="101"/>
      <c r="I898" s="101"/>
      <c r="J898" s="101"/>
    </row>
    <row r="899" spans="3:10" ht="16.5">
      <c r="C899" s="101"/>
      <c r="D899" s="101"/>
      <c r="E899" s="101"/>
      <c r="F899" s="101"/>
      <c r="G899" s="101"/>
      <c r="H899" s="101"/>
      <c r="I899" s="101"/>
      <c r="J899" s="101"/>
    </row>
    <row r="900" spans="3:10" ht="16.5">
      <c r="C900" s="101"/>
      <c r="D900" s="101"/>
      <c r="E900" s="101"/>
      <c r="F900" s="101"/>
      <c r="G900" s="101"/>
      <c r="H900" s="101"/>
      <c r="I900" s="101"/>
      <c r="J900" s="101"/>
    </row>
    <row r="901" spans="3:10" ht="16.5">
      <c r="C901" s="101"/>
      <c r="D901" s="101"/>
      <c r="E901" s="101"/>
      <c r="F901" s="101"/>
      <c r="G901" s="101"/>
      <c r="H901" s="101"/>
      <c r="I901" s="101"/>
      <c r="J901" s="101"/>
    </row>
    <row r="902" spans="3:10" ht="16.5">
      <c r="C902" s="101"/>
      <c r="D902" s="101"/>
      <c r="E902" s="101"/>
      <c r="F902" s="101"/>
      <c r="G902" s="101"/>
      <c r="H902" s="101"/>
      <c r="I902" s="101"/>
      <c r="J902" s="101"/>
    </row>
    <row r="903" spans="3:10" ht="16.5">
      <c r="C903" s="101"/>
      <c r="D903" s="101"/>
      <c r="E903" s="101"/>
      <c r="F903" s="101"/>
      <c r="G903" s="101"/>
      <c r="H903" s="101"/>
      <c r="I903" s="101"/>
      <c r="J903" s="101"/>
    </row>
    <row r="904" spans="3:10" ht="16.5">
      <c r="C904" s="101"/>
      <c r="D904" s="101"/>
      <c r="E904" s="101"/>
      <c r="F904" s="101"/>
      <c r="G904" s="101"/>
      <c r="H904" s="101"/>
      <c r="I904" s="101"/>
      <c r="J904" s="101"/>
    </row>
    <row r="905" spans="3:10" ht="16.5">
      <c r="C905" s="101"/>
      <c r="D905" s="101"/>
      <c r="E905" s="101"/>
      <c r="F905" s="101"/>
      <c r="G905" s="101"/>
      <c r="H905" s="101"/>
      <c r="I905" s="101"/>
      <c r="J905" s="101"/>
    </row>
    <row r="906" spans="3:10" ht="16.5">
      <c r="C906" s="101"/>
      <c r="D906" s="101"/>
      <c r="E906" s="101"/>
      <c r="F906" s="101"/>
      <c r="G906" s="101"/>
      <c r="H906" s="101"/>
      <c r="I906" s="101"/>
      <c r="J906" s="101"/>
    </row>
    <row r="907" spans="3:10" ht="16.5">
      <c r="C907" s="101"/>
      <c r="D907" s="101"/>
      <c r="E907" s="101"/>
      <c r="F907" s="101"/>
      <c r="G907" s="101"/>
      <c r="H907" s="101"/>
      <c r="I907" s="101"/>
      <c r="J907" s="101"/>
    </row>
    <row r="908" spans="3:10" ht="16.5">
      <c r="C908" s="101"/>
      <c r="D908" s="101"/>
      <c r="E908" s="101"/>
      <c r="F908" s="101"/>
      <c r="G908" s="101"/>
      <c r="H908" s="101"/>
      <c r="I908" s="101"/>
      <c r="J908" s="101"/>
    </row>
    <row r="909" spans="3:10" ht="16.5">
      <c r="C909" s="101"/>
      <c r="D909" s="101"/>
      <c r="E909" s="101"/>
      <c r="F909" s="101"/>
      <c r="G909" s="101"/>
      <c r="H909" s="101"/>
      <c r="I909" s="101"/>
      <c r="J909" s="101"/>
    </row>
    <row r="910" spans="3:10" ht="16.5">
      <c r="C910" s="101"/>
      <c r="D910" s="101"/>
      <c r="E910" s="101"/>
      <c r="F910" s="101"/>
      <c r="G910" s="101"/>
      <c r="H910" s="101"/>
      <c r="I910" s="101"/>
      <c r="J910" s="101"/>
    </row>
    <row r="911" spans="3:10" ht="16.5">
      <c r="C911" s="101"/>
      <c r="D911" s="101"/>
      <c r="E911" s="101"/>
      <c r="F911" s="101"/>
      <c r="G911" s="101"/>
      <c r="H911" s="101"/>
      <c r="I911" s="101"/>
      <c r="J911" s="101"/>
    </row>
    <row r="912" spans="3:10" ht="16.5">
      <c r="C912" s="101"/>
      <c r="D912" s="101"/>
      <c r="E912" s="101"/>
      <c r="F912" s="101"/>
      <c r="G912" s="101"/>
      <c r="H912" s="101"/>
      <c r="I912" s="101"/>
      <c r="J912" s="101"/>
    </row>
    <row r="913" spans="3:10" ht="16.5">
      <c r="C913" s="101"/>
      <c r="D913" s="101"/>
      <c r="E913" s="101"/>
      <c r="F913" s="101"/>
      <c r="G913" s="101"/>
      <c r="H913" s="101"/>
      <c r="I913" s="101"/>
      <c r="J913" s="101"/>
    </row>
    <row r="914" spans="3:10" ht="16.5">
      <c r="C914" s="101"/>
      <c r="D914" s="101"/>
      <c r="E914" s="101"/>
      <c r="F914" s="101"/>
      <c r="G914" s="101"/>
      <c r="H914" s="101"/>
      <c r="I914" s="101"/>
      <c r="J914" s="101"/>
    </row>
    <row r="915" spans="3:10" ht="16.5">
      <c r="C915" s="101"/>
      <c r="D915" s="101"/>
      <c r="E915" s="101"/>
      <c r="F915" s="101"/>
      <c r="G915" s="101"/>
      <c r="H915" s="101"/>
      <c r="I915" s="101"/>
      <c r="J915" s="101"/>
    </row>
    <row r="916" spans="3:10" ht="16.5">
      <c r="C916" s="101"/>
      <c r="D916" s="101"/>
      <c r="E916" s="101"/>
      <c r="F916" s="101"/>
      <c r="G916" s="101"/>
      <c r="H916" s="101"/>
      <c r="I916" s="101"/>
      <c r="J916" s="101"/>
    </row>
    <row r="917" spans="3:10" ht="16.5">
      <c r="C917" s="101"/>
      <c r="D917" s="101"/>
      <c r="E917" s="101"/>
      <c r="F917" s="101"/>
      <c r="G917" s="101"/>
      <c r="H917" s="101"/>
      <c r="I917" s="101"/>
      <c r="J917" s="101"/>
    </row>
    <row r="918" spans="3:10" ht="16.5">
      <c r="C918" s="101"/>
      <c r="D918" s="101"/>
      <c r="E918" s="101"/>
      <c r="F918" s="101"/>
      <c r="G918" s="101"/>
      <c r="H918" s="101"/>
      <c r="I918" s="101"/>
      <c r="J918" s="101"/>
    </row>
    <row r="919" spans="3:10" ht="16.5">
      <c r="C919" s="101"/>
      <c r="D919" s="101"/>
      <c r="E919" s="101"/>
      <c r="F919" s="101"/>
      <c r="G919" s="101"/>
      <c r="H919" s="101"/>
      <c r="I919" s="101"/>
      <c r="J919" s="101"/>
    </row>
    <row r="920" spans="3:10" ht="16.5">
      <c r="C920" s="101"/>
      <c r="D920" s="101"/>
      <c r="E920" s="101"/>
      <c r="F920" s="101"/>
      <c r="G920" s="101"/>
      <c r="H920" s="101"/>
      <c r="I920" s="101"/>
      <c r="J920" s="101"/>
    </row>
    <row r="921" spans="3:10" ht="16.5">
      <c r="C921" s="101"/>
      <c r="D921" s="101"/>
      <c r="E921" s="101"/>
      <c r="F921" s="101"/>
      <c r="G921" s="101"/>
      <c r="H921" s="101"/>
      <c r="I921" s="101"/>
      <c r="J921" s="101"/>
    </row>
    <row r="922" spans="3:10" ht="16.5">
      <c r="C922" s="101"/>
      <c r="D922" s="101"/>
      <c r="E922" s="101"/>
      <c r="F922" s="101"/>
      <c r="G922" s="101"/>
      <c r="H922" s="101"/>
      <c r="I922" s="101"/>
      <c r="J922" s="101"/>
    </row>
    <row r="923" spans="3:10" ht="16.5">
      <c r="C923" s="101"/>
      <c r="D923" s="101"/>
      <c r="E923" s="101"/>
      <c r="F923" s="101"/>
      <c r="G923" s="101"/>
      <c r="H923" s="101"/>
      <c r="I923" s="101"/>
      <c r="J923" s="101"/>
    </row>
    <row r="924" spans="3:10" ht="16.5">
      <c r="C924" s="101"/>
      <c r="D924" s="101"/>
      <c r="E924" s="101"/>
      <c r="F924" s="101"/>
      <c r="G924" s="101"/>
      <c r="H924" s="101"/>
      <c r="I924" s="101"/>
      <c r="J924" s="101"/>
    </row>
    <row r="925" spans="3:10" ht="16.5">
      <c r="C925" s="101"/>
      <c r="D925" s="101"/>
      <c r="E925" s="101"/>
      <c r="F925" s="101"/>
      <c r="G925" s="101"/>
      <c r="H925" s="101"/>
      <c r="I925" s="101"/>
      <c r="J925" s="101"/>
    </row>
    <row r="926" spans="3:10" ht="16.5">
      <c r="C926" s="101"/>
      <c r="D926" s="101"/>
      <c r="E926" s="101"/>
      <c r="F926" s="101"/>
      <c r="G926" s="101"/>
      <c r="H926" s="101"/>
      <c r="I926" s="101"/>
      <c r="J926" s="101"/>
    </row>
    <row r="927" spans="3:10" ht="16.5">
      <c r="C927" s="101"/>
      <c r="D927" s="101"/>
      <c r="E927" s="101"/>
      <c r="F927" s="101"/>
      <c r="G927" s="101"/>
      <c r="H927" s="101"/>
      <c r="I927" s="101"/>
      <c r="J927" s="101"/>
    </row>
    <row r="928" spans="3:10" ht="16.5">
      <c r="C928" s="101"/>
      <c r="D928" s="101"/>
      <c r="E928" s="101"/>
      <c r="F928" s="101"/>
      <c r="G928" s="101"/>
      <c r="H928" s="101"/>
      <c r="I928" s="101"/>
      <c r="J928" s="101"/>
    </row>
    <row r="929" spans="3:10" ht="16.5">
      <c r="C929" s="101"/>
      <c r="D929" s="101"/>
      <c r="E929" s="101"/>
      <c r="F929" s="101"/>
      <c r="G929" s="101"/>
      <c r="H929" s="101"/>
      <c r="I929" s="101"/>
      <c r="J929" s="101"/>
    </row>
    <row r="930" spans="3:10" ht="16.5">
      <c r="C930" s="101"/>
      <c r="D930" s="101"/>
      <c r="E930" s="101"/>
      <c r="F930" s="101"/>
      <c r="G930" s="101"/>
      <c r="H930" s="101"/>
      <c r="I930" s="101"/>
      <c r="J930" s="101"/>
    </row>
    <row r="931" spans="3:10" ht="16.5">
      <c r="C931" s="101"/>
      <c r="D931" s="101"/>
      <c r="E931" s="101"/>
      <c r="F931" s="101"/>
      <c r="G931" s="101"/>
      <c r="H931" s="101"/>
      <c r="I931" s="101"/>
      <c r="J931" s="101"/>
    </row>
    <row r="932" spans="3:10" ht="16.5">
      <c r="C932" s="101"/>
      <c r="D932" s="101"/>
      <c r="E932" s="101"/>
      <c r="F932" s="101"/>
      <c r="G932" s="101"/>
      <c r="H932" s="101"/>
      <c r="I932" s="101"/>
      <c r="J932" s="101"/>
    </row>
    <row r="933" spans="3:10" ht="16.5">
      <c r="C933" s="101"/>
      <c r="D933" s="101"/>
      <c r="E933" s="101"/>
      <c r="F933" s="101"/>
      <c r="G933" s="101"/>
      <c r="H933" s="101"/>
      <c r="I933" s="101"/>
      <c r="J933" s="101"/>
    </row>
    <row r="934" spans="3:10" ht="16.5">
      <c r="C934" s="101"/>
      <c r="D934" s="101"/>
      <c r="E934" s="101"/>
      <c r="F934" s="101"/>
      <c r="G934" s="101"/>
      <c r="H934" s="101"/>
      <c r="I934" s="101"/>
      <c r="J934" s="101"/>
    </row>
    <row r="935" spans="3:10" ht="16.5">
      <c r="C935" s="101"/>
      <c r="D935" s="101"/>
      <c r="E935" s="101"/>
      <c r="F935" s="101"/>
      <c r="G935" s="101"/>
      <c r="H935" s="101"/>
      <c r="I935" s="101"/>
      <c r="J935" s="101"/>
    </row>
    <row r="936" spans="3:10" ht="16.5">
      <c r="C936" s="101"/>
      <c r="D936" s="101"/>
      <c r="E936" s="101"/>
      <c r="F936" s="101"/>
      <c r="G936" s="101"/>
      <c r="H936" s="101"/>
      <c r="I936" s="101"/>
      <c r="J936" s="101"/>
    </row>
    <row r="937" spans="3:10" ht="16.5">
      <c r="C937" s="101"/>
      <c r="D937" s="101"/>
      <c r="E937" s="101"/>
      <c r="F937" s="101"/>
      <c r="G937" s="101"/>
      <c r="H937" s="101"/>
      <c r="I937" s="101"/>
      <c r="J937" s="101"/>
    </row>
    <row r="938" spans="3:10" ht="16.5">
      <c r="C938" s="101"/>
      <c r="D938" s="101"/>
      <c r="E938" s="101"/>
      <c r="F938" s="101"/>
      <c r="G938" s="101"/>
      <c r="H938" s="101"/>
      <c r="I938" s="101"/>
      <c r="J938" s="101"/>
    </row>
    <row r="939" spans="3:10" ht="16.5">
      <c r="C939" s="101"/>
      <c r="D939" s="101"/>
      <c r="E939" s="101"/>
      <c r="F939" s="101"/>
      <c r="G939" s="101"/>
      <c r="H939" s="101"/>
      <c r="I939" s="101"/>
      <c r="J939" s="101"/>
    </row>
    <row r="940" spans="3:10" ht="16.5">
      <c r="C940" s="101"/>
      <c r="D940" s="101"/>
      <c r="E940" s="101"/>
      <c r="F940" s="101"/>
      <c r="G940" s="101"/>
      <c r="H940" s="101"/>
      <c r="I940" s="101"/>
      <c r="J940" s="101"/>
    </row>
    <row r="941" spans="3:10" ht="16.5">
      <c r="C941" s="101"/>
      <c r="D941" s="101"/>
      <c r="E941" s="101"/>
      <c r="F941" s="101"/>
      <c r="G941" s="101"/>
      <c r="H941" s="101"/>
      <c r="I941" s="101"/>
      <c r="J941" s="101"/>
    </row>
    <row r="942" spans="3:10" ht="16.5">
      <c r="C942" s="101"/>
      <c r="D942" s="101"/>
      <c r="E942" s="101"/>
      <c r="F942" s="101"/>
      <c r="G942" s="101"/>
      <c r="H942" s="101"/>
      <c r="I942" s="101"/>
      <c r="J942" s="101"/>
    </row>
    <row r="943" spans="3:10" ht="16.5">
      <c r="C943" s="101"/>
      <c r="D943" s="101"/>
      <c r="E943" s="101"/>
      <c r="F943" s="101"/>
      <c r="G943" s="101"/>
      <c r="H943" s="101"/>
      <c r="I943" s="101"/>
      <c r="J943" s="101"/>
    </row>
    <row r="944" spans="3:10" ht="16.5">
      <c r="C944" s="101"/>
      <c r="D944" s="101"/>
      <c r="E944" s="101"/>
      <c r="F944" s="101"/>
      <c r="G944" s="101"/>
      <c r="H944" s="101"/>
      <c r="I944" s="101"/>
      <c r="J944" s="101"/>
    </row>
    <row r="945" spans="3:10" ht="16.5">
      <c r="C945" s="101"/>
      <c r="D945" s="101"/>
      <c r="E945" s="101"/>
      <c r="F945" s="101"/>
      <c r="G945" s="101"/>
      <c r="H945" s="101"/>
      <c r="I945" s="101"/>
      <c r="J945" s="101"/>
    </row>
    <row r="946" spans="3:10" ht="16.5">
      <c r="C946" s="101"/>
      <c r="D946" s="101"/>
      <c r="E946" s="101"/>
      <c r="F946" s="101"/>
      <c r="G946" s="101"/>
      <c r="H946" s="101"/>
      <c r="I946" s="101"/>
      <c r="J946" s="101"/>
    </row>
    <row r="947" spans="3:10" ht="16.5">
      <c r="C947" s="101"/>
      <c r="D947" s="101"/>
      <c r="E947" s="101"/>
      <c r="F947" s="101"/>
      <c r="G947" s="101"/>
      <c r="H947" s="101"/>
      <c r="I947" s="101"/>
      <c r="J947" s="101"/>
    </row>
    <row r="948" spans="3:10" ht="16.5">
      <c r="C948" s="101"/>
      <c r="D948" s="101"/>
      <c r="E948" s="101"/>
      <c r="F948" s="101"/>
      <c r="G948" s="101"/>
      <c r="H948" s="101"/>
      <c r="I948" s="101"/>
      <c r="J948" s="101"/>
    </row>
    <row r="949" spans="3:10" ht="16.5">
      <c r="C949" s="101"/>
      <c r="D949" s="101"/>
      <c r="E949" s="101"/>
      <c r="F949" s="101"/>
      <c r="G949" s="101"/>
      <c r="H949" s="101"/>
      <c r="I949" s="101"/>
      <c r="J949" s="101"/>
    </row>
    <row r="950" spans="3:10" ht="16.5">
      <c r="C950" s="101"/>
      <c r="D950" s="101"/>
      <c r="E950" s="101"/>
      <c r="F950" s="101"/>
      <c r="G950" s="101"/>
      <c r="H950" s="101"/>
      <c r="I950" s="101"/>
      <c r="J950" s="101"/>
    </row>
    <row r="951" spans="3:10" ht="16.5">
      <c r="C951" s="101"/>
      <c r="D951" s="101"/>
      <c r="E951" s="101"/>
      <c r="F951" s="101"/>
      <c r="G951" s="101"/>
      <c r="H951" s="101"/>
      <c r="I951" s="101"/>
      <c r="J951" s="101"/>
    </row>
    <row r="952" spans="3:10" ht="16.5">
      <c r="C952" s="101"/>
      <c r="D952" s="101"/>
      <c r="E952" s="101"/>
      <c r="F952" s="101"/>
      <c r="G952" s="101"/>
      <c r="H952" s="101"/>
      <c r="I952" s="101"/>
      <c r="J952" s="101"/>
    </row>
    <row r="953" spans="3:10" ht="16.5">
      <c r="C953" s="101"/>
      <c r="D953" s="101"/>
      <c r="E953" s="101"/>
      <c r="F953" s="101"/>
      <c r="G953" s="101"/>
      <c r="H953" s="101"/>
      <c r="I953" s="101"/>
      <c r="J953" s="101"/>
    </row>
    <row r="954" spans="3:10" ht="16.5">
      <c r="C954" s="101"/>
      <c r="D954" s="101"/>
      <c r="E954" s="101"/>
      <c r="F954" s="101"/>
      <c r="G954" s="101"/>
      <c r="H954" s="101"/>
      <c r="I954" s="101"/>
      <c r="J954" s="101"/>
    </row>
    <row r="955" spans="3:10" ht="16.5">
      <c r="C955" s="101"/>
      <c r="D955" s="101"/>
      <c r="E955" s="101"/>
      <c r="F955" s="101"/>
      <c r="G955" s="101"/>
      <c r="H955" s="101"/>
      <c r="I955" s="101"/>
      <c r="J955" s="101"/>
    </row>
    <row r="956" spans="3:10" ht="16.5">
      <c r="C956" s="101"/>
      <c r="D956" s="101"/>
      <c r="E956" s="101"/>
      <c r="F956" s="101"/>
      <c r="G956" s="101"/>
      <c r="H956" s="101"/>
      <c r="I956" s="101"/>
      <c r="J956" s="101"/>
    </row>
    <row r="957" spans="3:10" ht="16.5">
      <c r="C957" s="101"/>
      <c r="D957" s="101"/>
      <c r="E957" s="101"/>
      <c r="F957" s="101"/>
      <c r="G957" s="101"/>
      <c r="H957" s="101"/>
      <c r="I957" s="101"/>
      <c r="J957" s="101"/>
    </row>
    <row r="958" spans="3:10" ht="16.5">
      <c r="C958" s="101"/>
      <c r="D958" s="101"/>
      <c r="E958" s="101"/>
      <c r="F958" s="101"/>
      <c r="G958" s="101"/>
      <c r="H958" s="101"/>
      <c r="I958" s="101"/>
      <c r="J958" s="101"/>
    </row>
    <row r="959" spans="3:10" ht="16.5">
      <c r="C959" s="101"/>
      <c r="D959" s="101"/>
      <c r="E959" s="101"/>
      <c r="F959" s="101"/>
      <c r="G959" s="101"/>
      <c r="H959" s="101"/>
      <c r="I959" s="101"/>
      <c r="J959" s="101"/>
    </row>
    <row r="960" spans="3:10" ht="16.5">
      <c r="C960" s="101"/>
      <c r="D960" s="101"/>
      <c r="E960" s="101"/>
      <c r="F960" s="101"/>
      <c r="G960" s="101"/>
      <c r="H960" s="101"/>
      <c r="I960" s="101"/>
      <c r="J960" s="101"/>
    </row>
    <row r="961" spans="3:10" ht="16.5">
      <c r="C961" s="101"/>
      <c r="D961" s="101"/>
      <c r="E961" s="101"/>
      <c r="F961" s="101"/>
      <c r="G961" s="101"/>
      <c r="H961" s="101"/>
      <c r="I961" s="101"/>
      <c r="J961" s="101"/>
    </row>
    <row r="962" spans="3:10" ht="16.5">
      <c r="C962" s="101"/>
      <c r="D962" s="101"/>
      <c r="E962" s="101"/>
      <c r="F962" s="101"/>
      <c r="G962" s="101"/>
      <c r="H962" s="101"/>
      <c r="I962" s="101"/>
      <c r="J962" s="101"/>
    </row>
    <row r="963" spans="3:10" ht="16.5">
      <c r="C963" s="101"/>
      <c r="D963" s="101"/>
      <c r="E963" s="101"/>
      <c r="F963" s="101"/>
      <c r="G963" s="101"/>
      <c r="H963" s="101"/>
      <c r="I963" s="101"/>
      <c r="J963" s="101"/>
    </row>
    <row r="964" spans="3:10" ht="16.5">
      <c r="C964" s="101"/>
      <c r="D964" s="101"/>
      <c r="E964" s="101"/>
      <c r="F964" s="101"/>
      <c r="G964" s="101"/>
      <c r="H964" s="101"/>
      <c r="I964" s="101"/>
      <c r="J964" s="101"/>
    </row>
    <row r="965" spans="3:10" ht="16.5">
      <c r="C965" s="101"/>
      <c r="D965" s="101"/>
      <c r="E965" s="101"/>
      <c r="F965" s="101"/>
      <c r="G965" s="101"/>
      <c r="H965" s="101"/>
      <c r="I965" s="101"/>
      <c r="J965" s="101"/>
    </row>
    <row r="966" spans="3:10" ht="16.5">
      <c r="C966" s="101"/>
      <c r="D966" s="101"/>
      <c r="E966" s="101"/>
      <c r="F966" s="101"/>
      <c r="G966" s="101"/>
      <c r="H966" s="101"/>
      <c r="I966" s="101"/>
      <c r="J966" s="101"/>
    </row>
    <row r="967" spans="3:10" ht="16.5">
      <c r="C967" s="101"/>
      <c r="D967" s="101"/>
      <c r="E967" s="101"/>
      <c r="F967" s="101"/>
      <c r="G967" s="101"/>
      <c r="H967" s="101"/>
      <c r="I967" s="101"/>
      <c r="J967" s="101"/>
    </row>
    <row r="968" spans="3:10" ht="16.5">
      <c r="C968" s="101"/>
      <c r="D968" s="101"/>
      <c r="E968" s="101"/>
      <c r="F968" s="101"/>
      <c r="G968" s="101"/>
      <c r="H968" s="101"/>
      <c r="I968" s="101"/>
      <c r="J968" s="101"/>
    </row>
    <row r="969" spans="3:10" ht="16.5">
      <c r="C969" s="101"/>
      <c r="D969" s="101"/>
      <c r="E969" s="101"/>
      <c r="F969" s="101"/>
      <c r="G969" s="101"/>
      <c r="H969" s="101"/>
      <c r="I969" s="101"/>
      <c r="J969" s="101"/>
    </row>
    <row r="970" spans="3:10" ht="16.5">
      <c r="C970" s="101"/>
      <c r="D970" s="101"/>
      <c r="E970" s="101"/>
      <c r="F970" s="101"/>
      <c r="G970" s="101"/>
      <c r="H970" s="101"/>
      <c r="I970" s="101"/>
      <c r="J970" s="101"/>
    </row>
    <row r="971" spans="3:10" ht="16.5">
      <c r="C971" s="101"/>
      <c r="D971" s="101"/>
      <c r="E971" s="101"/>
      <c r="F971" s="101"/>
      <c r="G971" s="101"/>
      <c r="H971" s="101"/>
      <c r="I971" s="101"/>
      <c r="J971" s="101"/>
    </row>
    <row r="972" spans="3:10" ht="16.5">
      <c r="C972" s="101"/>
      <c r="D972" s="101"/>
      <c r="E972" s="101"/>
      <c r="F972" s="101"/>
      <c r="G972" s="101"/>
      <c r="H972" s="101"/>
      <c r="I972" s="101"/>
      <c r="J972" s="101"/>
    </row>
    <row r="973" spans="3:10" ht="16.5">
      <c r="C973" s="101"/>
      <c r="D973" s="101"/>
      <c r="E973" s="101"/>
      <c r="F973" s="101"/>
      <c r="G973" s="101"/>
      <c r="H973" s="101"/>
      <c r="I973" s="101"/>
      <c r="J973" s="101"/>
    </row>
    <row r="974" spans="3:10" ht="16.5">
      <c r="C974" s="101"/>
      <c r="D974" s="101"/>
      <c r="E974" s="101"/>
      <c r="F974" s="101"/>
      <c r="G974" s="101"/>
      <c r="H974" s="101"/>
      <c r="I974" s="101"/>
      <c r="J974" s="101"/>
    </row>
    <row r="975" spans="3:10" ht="16.5">
      <c r="C975" s="101"/>
      <c r="D975" s="101"/>
      <c r="E975" s="101"/>
      <c r="F975" s="101"/>
      <c r="G975" s="101"/>
      <c r="H975" s="101"/>
      <c r="I975" s="101"/>
      <c r="J975" s="101"/>
    </row>
    <row r="976" spans="3:10" ht="16.5">
      <c r="C976" s="101"/>
      <c r="D976" s="101"/>
      <c r="E976" s="101"/>
      <c r="F976" s="101"/>
      <c r="G976" s="101"/>
      <c r="H976" s="101"/>
      <c r="I976" s="101"/>
      <c r="J976" s="101"/>
    </row>
    <row r="977" spans="3:10" ht="16.5">
      <c r="C977" s="101"/>
      <c r="D977" s="101"/>
      <c r="E977" s="101"/>
      <c r="F977" s="101"/>
      <c r="G977" s="101"/>
      <c r="H977" s="101"/>
      <c r="I977" s="101"/>
      <c r="J977" s="101"/>
    </row>
    <row r="978" spans="3:10" ht="16.5">
      <c r="C978" s="101"/>
      <c r="D978" s="101"/>
      <c r="E978" s="101"/>
      <c r="F978" s="101"/>
      <c r="G978" s="101"/>
      <c r="H978" s="101"/>
      <c r="I978" s="101"/>
      <c r="J978" s="101"/>
    </row>
    <row r="979" spans="3:10" ht="16.5">
      <c r="C979" s="101"/>
      <c r="D979" s="101"/>
      <c r="E979" s="101"/>
      <c r="F979" s="101"/>
      <c r="G979" s="101"/>
      <c r="H979" s="101"/>
      <c r="I979" s="101"/>
      <c r="J979" s="101"/>
    </row>
    <row r="980" spans="3:10" ht="16.5">
      <c r="C980" s="101"/>
      <c r="D980" s="101"/>
      <c r="E980" s="101"/>
      <c r="F980" s="101"/>
      <c r="G980" s="101"/>
      <c r="H980" s="101"/>
      <c r="I980" s="101"/>
      <c r="J980" s="101"/>
    </row>
    <row r="981" spans="3:10" ht="16.5">
      <c r="C981" s="101"/>
      <c r="D981" s="101"/>
      <c r="E981" s="101"/>
      <c r="F981" s="101"/>
      <c r="G981" s="101"/>
      <c r="H981" s="101"/>
      <c r="I981" s="101"/>
      <c r="J981" s="101"/>
    </row>
    <row r="982" spans="3:10" ht="16.5">
      <c r="C982" s="101"/>
      <c r="D982" s="101"/>
      <c r="E982" s="101"/>
      <c r="F982" s="101"/>
      <c r="G982" s="101"/>
      <c r="H982" s="101"/>
      <c r="I982" s="101"/>
      <c r="J982" s="101"/>
    </row>
    <row r="983" spans="3:10" ht="16.5">
      <c r="C983" s="101"/>
      <c r="D983" s="101"/>
      <c r="E983" s="101"/>
      <c r="F983" s="101"/>
      <c r="G983" s="101"/>
      <c r="H983" s="101"/>
      <c r="I983" s="101"/>
      <c r="J983" s="101"/>
    </row>
    <row r="984" spans="3:10" ht="16.5">
      <c r="C984" s="101"/>
      <c r="D984" s="101"/>
      <c r="E984" s="101"/>
      <c r="F984" s="101"/>
      <c r="G984" s="101"/>
      <c r="H984" s="101"/>
      <c r="I984" s="101"/>
      <c r="J984" s="101"/>
    </row>
    <row r="985" spans="3:10" ht="16.5">
      <c r="C985" s="101"/>
      <c r="D985" s="101"/>
      <c r="E985" s="101"/>
      <c r="F985" s="101"/>
      <c r="G985" s="101"/>
      <c r="H985" s="101"/>
      <c r="I985" s="101"/>
      <c r="J985" s="101"/>
    </row>
    <row r="986" spans="3:10" ht="16.5">
      <c r="C986" s="101"/>
      <c r="D986" s="101"/>
      <c r="E986" s="101"/>
      <c r="F986" s="101"/>
      <c r="G986" s="101"/>
      <c r="H986" s="101"/>
      <c r="I986" s="101"/>
      <c r="J986" s="101"/>
    </row>
    <row r="987" spans="3:10" ht="16.5">
      <c r="C987" s="101"/>
      <c r="D987" s="101"/>
      <c r="E987" s="101"/>
      <c r="F987" s="101"/>
      <c r="G987" s="101"/>
      <c r="H987" s="101"/>
      <c r="I987" s="101"/>
      <c r="J987" s="101"/>
    </row>
    <row r="988" spans="3:10" ht="16.5">
      <c r="C988" s="101"/>
      <c r="D988" s="101"/>
      <c r="E988" s="101"/>
      <c r="F988" s="101"/>
      <c r="G988" s="101"/>
      <c r="H988" s="101"/>
      <c r="I988" s="101"/>
      <c r="J988" s="101"/>
    </row>
    <row r="989" spans="3:10" ht="16.5">
      <c r="C989" s="101"/>
      <c r="D989" s="101"/>
      <c r="E989" s="101"/>
      <c r="F989" s="101"/>
      <c r="G989" s="101"/>
      <c r="H989" s="101"/>
      <c r="I989" s="101"/>
      <c r="J989" s="101"/>
    </row>
    <row r="990" spans="3:10" ht="16.5">
      <c r="C990" s="101"/>
      <c r="D990" s="101"/>
      <c r="E990" s="101"/>
      <c r="F990" s="101"/>
      <c r="G990" s="101"/>
      <c r="H990" s="101"/>
      <c r="I990" s="101"/>
      <c r="J990" s="101"/>
    </row>
    <row r="991" spans="3:10" ht="16.5">
      <c r="C991" s="101"/>
      <c r="D991" s="101"/>
      <c r="E991" s="101"/>
      <c r="F991" s="101"/>
      <c r="G991" s="101"/>
      <c r="H991" s="101"/>
      <c r="I991" s="101"/>
      <c r="J991" s="101"/>
    </row>
    <row r="992" spans="3:10" ht="16.5">
      <c r="C992" s="101"/>
      <c r="D992" s="101"/>
      <c r="E992" s="101"/>
      <c r="F992" s="101"/>
      <c r="G992" s="101"/>
      <c r="H992" s="101"/>
      <c r="I992" s="101"/>
      <c r="J992" s="101"/>
    </row>
    <row r="993" spans="3:10" ht="16.5">
      <c r="C993" s="101"/>
      <c r="D993" s="101"/>
      <c r="E993" s="101"/>
      <c r="F993" s="101"/>
      <c r="G993" s="101"/>
      <c r="H993" s="101"/>
      <c r="I993" s="101"/>
      <c r="J993" s="101"/>
    </row>
    <row r="994" spans="3:10" ht="16.5">
      <c r="C994" s="101"/>
      <c r="D994" s="101"/>
      <c r="E994" s="101"/>
      <c r="F994" s="101"/>
      <c r="G994" s="101"/>
      <c r="H994" s="101"/>
      <c r="I994" s="101"/>
      <c r="J994" s="101"/>
    </row>
    <row r="995" spans="3:10" ht="16.5">
      <c r="C995" s="101"/>
      <c r="D995" s="101"/>
      <c r="E995" s="101"/>
      <c r="F995" s="101"/>
      <c r="G995" s="101"/>
      <c r="H995" s="101"/>
      <c r="I995" s="101"/>
      <c r="J995" s="101"/>
    </row>
    <row r="996" spans="3:10" ht="16.5">
      <c r="C996" s="101"/>
      <c r="D996" s="101"/>
      <c r="E996" s="101"/>
      <c r="F996" s="101"/>
      <c r="G996" s="101"/>
      <c r="H996" s="101"/>
      <c r="I996" s="101"/>
      <c r="J996" s="101"/>
    </row>
    <row r="997" spans="3:10" ht="16.5">
      <c r="C997" s="101"/>
      <c r="D997" s="101"/>
      <c r="E997" s="101"/>
      <c r="F997" s="101"/>
      <c r="G997" s="101"/>
      <c r="H997" s="101"/>
      <c r="I997" s="101"/>
      <c r="J997" s="101"/>
    </row>
    <row r="998" spans="3:10" ht="16.5">
      <c r="C998" s="101"/>
      <c r="D998" s="101"/>
      <c r="E998" s="101"/>
      <c r="F998" s="101"/>
      <c r="G998" s="101"/>
      <c r="H998" s="101"/>
      <c r="I998" s="101"/>
      <c r="J998" s="101"/>
    </row>
    <row r="999" spans="3:10" ht="16.5">
      <c r="C999" s="101"/>
      <c r="D999" s="101"/>
      <c r="E999" s="101"/>
      <c r="F999" s="101"/>
      <c r="G999" s="101"/>
      <c r="H999" s="101"/>
      <c r="I999" s="101"/>
      <c r="J999" s="101"/>
    </row>
    <row r="1000" spans="3:10" ht="16.5">
      <c r="C1000" s="101"/>
      <c r="D1000" s="101"/>
      <c r="E1000" s="101"/>
      <c r="F1000" s="101"/>
      <c r="G1000" s="101"/>
      <c r="H1000" s="101"/>
      <c r="I1000" s="101"/>
      <c r="J1000" s="101"/>
    </row>
    <row r="1001" spans="3:10" ht="16.5">
      <c r="C1001" s="101"/>
      <c r="D1001" s="101"/>
      <c r="E1001" s="101"/>
      <c r="F1001" s="101"/>
      <c r="G1001" s="101"/>
      <c r="H1001" s="101"/>
      <c r="I1001" s="101"/>
      <c r="J1001" s="101"/>
    </row>
    <row r="1002" spans="3:10" ht="16.5">
      <c r="C1002" s="101"/>
      <c r="D1002" s="101"/>
      <c r="E1002" s="101"/>
      <c r="F1002" s="101"/>
      <c r="G1002" s="101"/>
      <c r="H1002" s="101"/>
      <c r="I1002" s="101"/>
      <c r="J1002" s="101"/>
    </row>
    <row r="1003" spans="3:10" ht="16.5">
      <c r="C1003" s="101"/>
      <c r="D1003" s="101"/>
      <c r="E1003" s="101"/>
      <c r="F1003" s="101"/>
      <c r="G1003" s="101"/>
      <c r="H1003" s="101"/>
      <c r="I1003" s="101"/>
      <c r="J1003" s="101"/>
    </row>
    <row r="1004" spans="3:10" ht="16.5">
      <c r="C1004" s="101"/>
      <c r="D1004" s="101"/>
      <c r="E1004" s="101"/>
      <c r="F1004" s="101"/>
      <c r="G1004" s="101"/>
      <c r="H1004" s="101"/>
      <c r="I1004" s="101"/>
      <c r="J1004" s="101"/>
    </row>
    <row r="1005" spans="3:10" ht="16.5">
      <c r="C1005" s="101"/>
      <c r="D1005" s="101"/>
      <c r="E1005" s="101"/>
      <c r="F1005" s="101"/>
      <c r="G1005" s="101"/>
      <c r="H1005" s="101"/>
      <c r="I1005" s="101"/>
      <c r="J1005" s="101"/>
    </row>
    <row r="1006" spans="3:10" ht="16.5">
      <c r="C1006" s="101"/>
      <c r="D1006" s="101"/>
      <c r="E1006" s="101"/>
      <c r="F1006" s="101"/>
      <c r="G1006" s="101"/>
      <c r="H1006" s="101"/>
      <c r="I1006" s="101"/>
      <c r="J1006" s="101"/>
    </row>
    <row r="1007" spans="3:10" ht="16.5">
      <c r="C1007" s="101"/>
      <c r="D1007" s="101"/>
      <c r="E1007" s="101"/>
      <c r="F1007" s="101"/>
      <c r="G1007" s="101"/>
      <c r="H1007" s="101"/>
      <c r="I1007" s="101"/>
      <c r="J1007" s="101"/>
    </row>
    <row r="1008" spans="3:10" ht="16.5">
      <c r="C1008" s="101"/>
      <c r="D1008" s="101"/>
      <c r="E1008" s="101"/>
      <c r="F1008" s="101"/>
      <c r="G1008" s="101"/>
      <c r="H1008" s="101"/>
      <c r="I1008" s="101"/>
      <c r="J1008" s="101"/>
    </row>
    <row r="1009" spans="3:10" ht="16.5">
      <c r="C1009" s="101"/>
      <c r="D1009" s="101"/>
      <c r="E1009" s="101"/>
      <c r="F1009" s="101"/>
      <c r="G1009" s="101"/>
      <c r="H1009" s="101"/>
      <c r="I1009" s="101"/>
      <c r="J1009" s="101"/>
    </row>
    <row r="1010" spans="3:10" ht="16.5">
      <c r="C1010" s="101"/>
      <c r="D1010" s="101"/>
      <c r="E1010" s="101"/>
      <c r="F1010" s="101"/>
      <c r="G1010" s="101"/>
      <c r="H1010" s="101"/>
      <c r="I1010" s="101"/>
      <c r="J1010" s="101"/>
    </row>
    <row r="1011" spans="3:10" ht="16.5">
      <c r="C1011" s="101"/>
      <c r="D1011" s="101"/>
      <c r="E1011" s="101"/>
      <c r="F1011" s="101"/>
      <c r="G1011" s="101"/>
      <c r="H1011" s="101"/>
      <c r="I1011" s="101"/>
      <c r="J1011" s="101"/>
    </row>
    <row r="1012" spans="3:10" ht="16.5">
      <c r="C1012" s="101"/>
      <c r="D1012" s="101"/>
      <c r="E1012" s="101"/>
      <c r="F1012" s="101"/>
      <c r="G1012" s="101"/>
      <c r="H1012" s="101"/>
      <c r="I1012" s="101"/>
      <c r="J1012" s="101"/>
    </row>
    <row r="1013" spans="3:10" ht="16.5">
      <c r="C1013" s="101"/>
      <c r="D1013" s="101"/>
      <c r="E1013" s="101"/>
      <c r="F1013" s="101"/>
      <c r="G1013" s="101"/>
      <c r="H1013" s="101"/>
      <c r="I1013" s="101"/>
      <c r="J1013" s="101"/>
    </row>
    <row r="1014" spans="3:10" ht="16.5">
      <c r="C1014" s="101"/>
      <c r="D1014" s="101"/>
      <c r="E1014" s="101"/>
      <c r="F1014" s="101"/>
      <c r="G1014" s="101"/>
      <c r="H1014" s="101"/>
      <c r="I1014" s="101"/>
      <c r="J1014" s="101"/>
    </row>
    <row r="1015" spans="3:10" ht="16.5">
      <c r="C1015" s="101"/>
      <c r="D1015" s="101"/>
      <c r="E1015" s="101"/>
      <c r="F1015" s="101"/>
      <c r="G1015" s="101"/>
      <c r="H1015" s="101"/>
      <c r="I1015" s="101"/>
      <c r="J1015" s="101"/>
    </row>
    <row r="1016" spans="3:10" ht="16.5">
      <c r="C1016" s="101"/>
      <c r="D1016" s="101"/>
      <c r="E1016" s="101"/>
      <c r="F1016" s="101"/>
      <c r="G1016" s="101"/>
      <c r="H1016" s="101"/>
      <c r="I1016" s="101"/>
      <c r="J1016" s="101"/>
    </row>
    <row r="1017" spans="3:10" ht="16.5">
      <c r="C1017" s="101"/>
      <c r="D1017" s="101"/>
      <c r="E1017" s="101"/>
      <c r="F1017" s="101"/>
      <c r="G1017" s="101"/>
      <c r="H1017" s="101"/>
      <c r="I1017" s="101"/>
      <c r="J1017" s="101"/>
    </row>
    <row r="1018" spans="3:10" ht="16.5">
      <c r="C1018" s="101"/>
      <c r="D1018" s="101"/>
      <c r="E1018" s="101"/>
      <c r="F1018" s="101"/>
      <c r="G1018" s="101"/>
      <c r="H1018" s="101"/>
      <c r="I1018" s="101"/>
      <c r="J1018" s="101"/>
    </row>
    <row r="1019" spans="3:10" ht="16.5">
      <c r="C1019" s="101"/>
      <c r="D1019" s="101"/>
      <c r="E1019" s="101"/>
      <c r="F1019" s="101"/>
      <c r="G1019" s="101"/>
      <c r="H1019" s="101"/>
      <c r="I1019" s="101"/>
      <c r="J1019" s="101"/>
    </row>
    <row r="1020" spans="3:10" ht="16.5">
      <c r="C1020" s="101"/>
      <c r="D1020" s="101"/>
      <c r="E1020" s="101"/>
      <c r="F1020" s="101"/>
      <c r="G1020" s="101"/>
      <c r="H1020" s="101"/>
      <c r="I1020" s="101"/>
      <c r="J1020" s="101"/>
    </row>
    <row r="1021" spans="3:10" ht="16.5">
      <c r="C1021" s="101"/>
      <c r="D1021" s="101"/>
      <c r="E1021" s="101"/>
      <c r="F1021" s="101"/>
      <c r="G1021" s="101"/>
      <c r="H1021" s="101"/>
      <c r="I1021" s="101"/>
      <c r="J1021" s="101"/>
    </row>
    <row r="1022" spans="3:10" ht="16.5">
      <c r="C1022" s="101"/>
      <c r="D1022" s="101"/>
      <c r="E1022" s="101"/>
      <c r="F1022" s="101"/>
      <c r="G1022" s="101"/>
      <c r="H1022" s="101"/>
      <c r="I1022" s="101"/>
      <c r="J1022" s="101"/>
    </row>
    <row r="1023" spans="3:10" ht="16.5">
      <c r="C1023" s="101"/>
      <c r="D1023" s="101"/>
      <c r="E1023" s="101"/>
      <c r="F1023" s="101"/>
      <c r="G1023" s="101"/>
      <c r="H1023" s="101"/>
      <c r="I1023" s="101"/>
      <c r="J1023" s="101"/>
    </row>
    <row r="1024" spans="3:10" ht="16.5">
      <c r="C1024" s="101"/>
      <c r="D1024" s="101"/>
      <c r="E1024" s="101"/>
      <c r="F1024" s="101"/>
      <c r="G1024" s="101"/>
      <c r="H1024" s="101"/>
      <c r="I1024" s="101"/>
      <c r="J1024" s="101"/>
    </row>
    <row r="1025" spans="3:10" ht="16.5">
      <c r="C1025" s="101"/>
      <c r="D1025" s="101"/>
      <c r="E1025" s="101"/>
      <c r="F1025" s="101"/>
      <c r="G1025" s="101"/>
      <c r="H1025" s="101"/>
      <c r="I1025" s="101"/>
      <c r="J1025" s="101"/>
    </row>
    <row r="1026" spans="3:10" ht="16.5">
      <c r="C1026" s="101"/>
      <c r="D1026" s="101"/>
      <c r="E1026" s="101"/>
      <c r="F1026" s="101"/>
      <c r="G1026" s="101"/>
      <c r="H1026" s="101"/>
      <c r="I1026" s="101"/>
      <c r="J1026" s="101"/>
    </row>
    <row r="1027" spans="3:10" ht="16.5">
      <c r="C1027" s="101"/>
      <c r="D1027" s="101"/>
      <c r="E1027" s="101"/>
      <c r="F1027" s="101"/>
      <c r="G1027" s="101"/>
      <c r="H1027" s="101"/>
      <c r="I1027" s="101"/>
      <c r="J1027" s="101"/>
    </row>
    <row r="1028" spans="3:10" ht="16.5">
      <c r="C1028" s="101"/>
      <c r="D1028" s="101"/>
      <c r="E1028" s="101"/>
      <c r="F1028" s="101"/>
      <c r="G1028" s="101"/>
      <c r="H1028" s="101"/>
      <c r="I1028" s="101"/>
      <c r="J1028" s="101"/>
    </row>
    <row r="1029" spans="3:10" ht="16.5">
      <c r="C1029" s="101"/>
      <c r="D1029" s="101"/>
      <c r="E1029" s="101"/>
      <c r="F1029" s="101"/>
      <c r="G1029" s="101"/>
      <c r="H1029" s="101"/>
      <c r="I1029" s="101"/>
      <c r="J1029" s="101"/>
    </row>
    <row r="1030" spans="3:10" ht="16.5">
      <c r="C1030" s="101"/>
      <c r="D1030" s="101"/>
      <c r="E1030" s="101"/>
      <c r="F1030" s="101"/>
      <c r="G1030" s="101"/>
      <c r="H1030" s="101"/>
      <c r="I1030" s="101"/>
      <c r="J1030" s="101"/>
    </row>
    <row r="1031" spans="3:10" ht="16.5">
      <c r="C1031" s="101"/>
      <c r="D1031" s="101"/>
      <c r="E1031" s="101"/>
      <c r="F1031" s="101"/>
      <c r="G1031" s="101"/>
      <c r="H1031" s="101"/>
      <c r="I1031" s="101"/>
      <c r="J1031" s="101"/>
    </row>
    <row r="1032" spans="3:10" ht="16.5">
      <c r="C1032" s="101"/>
      <c r="D1032" s="101"/>
      <c r="E1032" s="101"/>
      <c r="F1032" s="101"/>
      <c r="G1032" s="101"/>
      <c r="H1032" s="101"/>
      <c r="I1032" s="101"/>
      <c r="J1032" s="101"/>
    </row>
    <row r="1033" spans="3:10" ht="16.5">
      <c r="C1033" s="101"/>
      <c r="D1033" s="101"/>
      <c r="E1033" s="101"/>
      <c r="F1033" s="101"/>
      <c r="G1033" s="101"/>
      <c r="H1033" s="101"/>
      <c r="I1033" s="101"/>
      <c r="J1033" s="101"/>
    </row>
    <row r="1034" spans="3:10" ht="16.5">
      <c r="C1034" s="101"/>
      <c r="D1034" s="101"/>
      <c r="E1034" s="101"/>
      <c r="F1034" s="101"/>
      <c r="G1034" s="101"/>
      <c r="H1034" s="101"/>
      <c r="I1034" s="101"/>
      <c r="J1034" s="101"/>
    </row>
    <row r="1035" spans="3:10" ht="16.5">
      <c r="C1035" s="101"/>
      <c r="D1035" s="101"/>
      <c r="E1035" s="101"/>
      <c r="F1035" s="101"/>
      <c r="G1035" s="101"/>
      <c r="H1035" s="101"/>
      <c r="I1035" s="101"/>
      <c r="J1035" s="101"/>
    </row>
    <row r="1036" spans="3:10" ht="16.5">
      <c r="C1036" s="101"/>
      <c r="D1036" s="101"/>
      <c r="E1036" s="101"/>
      <c r="F1036" s="101"/>
      <c r="G1036" s="101"/>
      <c r="H1036" s="101"/>
      <c r="I1036" s="101"/>
      <c r="J1036" s="101"/>
    </row>
    <row r="1037" spans="3:10" ht="16.5">
      <c r="C1037" s="101"/>
      <c r="D1037" s="101"/>
      <c r="E1037" s="101"/>
      <c r="F1037" s="101"/>
      <c r="G1037" s="101"/>
      <c r="H1037" s="101"/>
      <c r="I1037" s="101"/>
      <c r="J1037" s="101"/>
    </row>
    <row r="1038" spans="3:10" ht="16.5">
      <c r="C1038" s="101"/>
      <c r="D1038" s="101"/>
      <c r="E1038" s="101"/>
      <c r="F1038" s="101"/>
      <c r="G1038" s="101"/>
      <c r="H1038" s="101"/>
      <c r="I1038" s="101"/>
      <c r="J1038" s="101"/>
    </row>
    <row r="1039" spans="3:10" ht="16.5">
      <c r="C1039" s="101"/>
      <c r="D1039" s="101"/>
      <c r="E1039" s="101"/>
      <c r="F1039" s="101"/>
      <c r="G1039" s="101"/>
      <c r="H1039" s="101"/>
      <c r="I1039" s="101"/>
      <c r="J1039" s="101"/>
    </row>
    <row r="1040" spans="3:10" ht="16.5">
      <c r="C1040" s="101"/>
      <c r="D1040" s="101"/>
      <c r="E1040" s="101"/>
      <c r="F1040" s="101"/>
      <c r="G1040" s="101"/>
      <c r="H1040" s="101"/>
      <c r="I1040" s="101"/>
      <c r="J1040" s="101"/>
    </row>
    <row r="1041" spans="3:10" ht="16.5">
      <c r="C1041" s="101"/>
      <c r="D1041" s="101"/>
      <c r="E1041" s="101"/>
      <c r="F1041" s="101"/>
      <c r="G1041" s="101"/>
      <c r="H1041" s="101"/>
      <c r="I1041" s="101"/>
      <c r="J1041" s="101"/>
    </row>
    <row r="1042" spans="3:10" ht="16.5">
      <c r="C1042" s="101"/>
      <c r="D1042" s="101"/>
      <c r="E1042" s="101"/>
      <c r="F1042" s="101"/>
      <c r="G1042" s="101"/>
      <c r="H1042" s="101"/>
      <c r="I1042" s="101"/>
      <c r="J1042" s="101"/>
    </row>
    <row r="1043" spans="3:10" ht="16.5">
      <c r="C1043" s="101"/>
      <c r="D1043" s="101"/>
      <c r="E1043" s="101"/>
      <c r="F1043" s="101"/>
      <c r="G1043" s="101"/>
      <c r="H1043" s="101"/>
      <c r="I1043" s="101"/>
      <c r="J1043" s="101"/>
    </row>
    <row r="1044" spans="3:10" ht="16.5">
      <c r="C1044" s="101"/>
      <c r="D1044" s="101"/>
      <c r="E1044" s="101"/>
      <c r="F1044" s="101"/>
      <c r="G1044" s="101"/>
      <c r="H1044" s="101"/>
      <c r="I1044" s="101"/>
      <c r="J1044" s="101"/>
    </row>
    <row r="1045" spans="3:10" ht="16.5">
      <c r="C1045" s="101"/>
      <c r="D1045" s="101"/>
      <c r="E1045" s="101"/>
      <c r="F1045" s="101"/>
      <c r="G1045" s="101"/>
      <c r="H1045" s="101"/>
      <c r="I1045" s="101"/>
      <c r="J1045" s="101"/>
    </row>
    <row r="1046" spans="3:10" ht="16.5">
      <c r="C1046" s="101"/>
      <c r="D1046" s="101"/>
      <c r="E1046" s="101"/>
      <c r="F1046" s="101"/>
      <c r="G1046" s="101"/>
      <c r="H1046" s="101"/>
      <c r="I1046" s="101"/>
      <c r="J1046" s="101"/>
    </row>
    <row r="1047" spans="3:10" ht="16.5">
      <c r="C1047" s="101"/>
      <c r="D1047" s="101"/>
      <c r="E1047" s="101"/>
      <c r="F1047" s="101"/>
      <c r="G1047" s="101"/>
      <c r="H1047" s="101"/>
      <c r="I1047" s="101"/>
      <c r="J1047" s="101"/>
    </row>
    <row r="1048" spans="3:10" ht="16.5">
      <c r="C1048" s="101"/>
      <c r="D1048" s="101"/>
      <c r="E1048" s="101"/>
      <c r="F1048" s="101"/>
      <c r="G1048" s="101"/>
      <c r="H1048" s="101"/>
      <c r="I1048" s="101"/>
      <c r="J1048" s="101"/>
    </row>
    <row r="1049" spans="3:10" ht="16.5">
      <c r="C1049" s="101"/>
      <c r="D1049" s="101"/>
      <c r="E1049" s="101"/>
      <c r="F1049" s="101"/>
      <c r="G1049" s="101"/>
      <c r="H1049" s="101"/>
      <c r="I1049" s="101"/>
      <c r="J1049" s="101"/>
    </row>
    <row r="1050" spans="3:10" ht="16.5">
      <c r="C1050" s="101"/>
      <c r="D1050" s="101"/>
      <c r="E1050" s="101"/>
      <c r="F1050" s="101"/>
      <c r="G1050" s="101"/>
      <c r="H1050" s="101"/>
      <c r="I1050" s="101"/>
      <c r="J1050" s="101"/>
    </row>
    <row r="1051" spans="3:10" ht="16.5">
      <c r="C1051" s="101"/>
      <c r="D1051" s="101"/>
      <c r="E1051" s="101"/>
      <c r="F1051" s="101"/>
      <c r="G1051" s="101"/>
      <c r="H1051" s="101"/>
      <c r="I1051" s="101"/>
      <c r="J1051" s="101"/>
    </row>
    <row r="1052" spans="3:10" ht="16.5">
      <c r="C1052" s="101"/>
      <c r="D1052" s="101"/>
      <c r="E1052" s="101"/>
      <c r="F1052" s="101"/>
      <c r="G1052" s="101"/>
      <c r="H1052" s="101"/>
      <c r="I1052" s="101"/>
      <c r="J1052" s="101"/>
    </row>
    <row r="1053" spans="3:10" ht="16.5">
      <c r="C1053" s="101"/>
      <c r="D1053" s="101"/>
      <c r="E1053" s="101"/>
      <c r="F1053" s="101"/>
      <c r="G1053" s="101"/>
      <c r="H1053" s="101"/>
      <c r="I1053" s="101"/>
      <c r="J1053" s="101"/>
    </row>
    <row r="1054" spans="3:10" ht="16.5">
      <c r="C1054" s="101"/>
      <c r="D1054" s="101"/>
      <c r="E1054" s="101"/>
      <c r="F1054" s="101"/>
      <c r="G1054" s="101"/>
      <c r="H1054" s="101"/>
      <c r="I1054" s="101"/>
      <c r="J1054" s="101"/>
    </row>
    <row r="1055" spans="3:10" ht="16.5">
      <c r="C1055" s="101"/>
      <c r="D1055" s="101"/>
      <c r="E1055" s="101"/>
      <c r="F1055" s="101"/>
      <c r="G1055" s="101"/>
      <c r="H1055" s="101"/>
      <c r="I1055" s="101"/>
      <c r="J1055" s="101"/>
    </row>
    <row r="1056" spans="3:10" ht="16.5">
      <c r="C1056" s="101"/>
      <c r="D1056" s="101"/>
      <c r="E1056" s="101"/>
      <c r="F1056" s="101"/>
      <c r="G1056" s="101"/>
      <c r="H1056" s="101"/>
      <c r="I1056" s="101"/>
      <c r="J1056" s="101"/>
    </row>
    <row r="1057" spans="3:10" ht="16.5">
      <c r="C1057" s="101"/>
      <c r="D1057" s="101"/>
      <c r="E1057" s="101"/>
      <c r="F1057" s="101"/>
      <c r="G1057" s="101"/>
      <c r="H1057" s="101"/>
      <c r="I1057" s="101"/>
      <c r="J1057" s="101"/>
    </row>
    <row r="1058" spans="3:10" ht="16.5">
      <c r="C1058" s="101"/>
      <c r="D1058" s="101"/>
      <c r="E1058" s="101"/>
      <c r="F1058" s="101"/>
      <c r="G1058" s="101"/>
      <c r="H1058" s="101"/>
      <c r="I1058" s="101"/>
      <c r="J1058" s="101"/>
    </row>
    <row r="1059" spans="3:10" ht="16.5">
      <c r="C1059" s="101"/>
      <c r="D1059" s="101"/>
      <c r="E1059" s="101"/>
      <c r="F1059" s="101"/>
      <c r="G1059" s="101"/>
      <c r="H1059" s="101"/>
      <c r="I1059" s="101"/>
      <c r="J1059" s="101"/>
    </row>
    <row r="1060" spans="3:10" ht="16.5">
      <c r="C1060" s="101"/>
      <c r="D1060" s="101"/>
      <c r="E1060" s="101"/>
      <c r="F1060" s="101"/>
      <c r="G1060" s="101"/>
      <c r="H1060" s="101"/>
      <c r="I1060" s="101"/>
      <c r="J1060" s="101"/>
    </row>
    <row r="1061" spans="3:10" ht="16.5">
      <c r="C1061" s="101"/>
      <c r="D1061" s="101"/>
      <c r="E1061" s="101"/>
      <c r="F1061" s="101"/>
      <c r="G1061" s="101"/>
      <c r="H1061" s="101"/>
      <c r="I1061" s="101"/>
      <c r="J1061" s="101"/>
    </row>
    <row r="1062" spans="3:10" ht="16.5">
      <c r="C1062" s="101"/>
      <c r="D1062" s="101"/>
      <c r="E1062" s="101"/>
      <c r="F1062" s="101"/>
      <c r="G1062" s="101"/>
      <c r="H1062" s="101"/>
      <c r="I1062" s="101"/>
      <c r="J1062" s="101"/>
    </row>
    <row r="1063" spans="3:10" ht="16.5">
      <c r="C1063" s="101"/>
      <c r="D1063" s="101"/>
      <c r="E1063" s="101"/>
      <c r="F1063" s="101"/>
      <c r="G1063" s="101"/>
      <c r="H1063" s="101"/>
      <c r="I1063" s="101"/>
      <c r="J1063" s="101"/>
    </row>
    <row r="1064" spans="3:10" ht="16.5">
      <c r="C1064" s="101"/>
      <c r="D1064" s="101"/>
      <c r="E1064" s="101"/>
      <c r="F1064" s="101"/>
      <c r="G1064" s="101"/>
      <c r="H1064" s="101"/>
      <c r="I1064" s="101"/>
      <c r="J1064" s="101"/>
    </row>
    <row r="1065" spans="3:10" ht="16.5">
      <c r="C1065" s="101"/>
      <c r="D1065" s="101"/>
      <c r="E1065" s="101"/>
      <c r="F1065" s="101"/>
      <c r="G1065" s="101"/>
      <c r="H1065" s="101"/>
      <c r="I1065" s="101"/>
      <c r="J1065" s="101"/>
    </row>
    <row r="1066" spans="3:10" ht="16.5">
      <c r="C1066" s="101"/>
      <c r="D1066" s="101"/>
      <c r="E1066" s="101"/>
      <c r="F1066" s="101"/>
      <c r="G1066" s="101"/>
      <c r="H1066" s="101"/>
      <c r="I1066" s="101"/>
      <c r="J1066" s="101"/>
    </row>
    <row r="1067" spans="3:10" ht="16.5">
      <c r="C1067" s="101"/>
      <c r="D1067" s="101"/>
      <c r="E1067" s="101"/>
      <c r="F1067" s="101"/>
      <c r="G1067" s="101"/>
      <c r="H1067" s="101"/>
      <c r="I1067" s="101"/>
      <c r="J1067" s="101"/>
    </row>
    <row r="1068" spans="3:10" ht="16.5">
      <c r="C1068" s="101"/>
      <c r="D1068" s="101"/>
      <c r="E1068" s="101"/>
      <c r="F1068" s="101"/>
      <c r="G1068" s="101"/>
      <c r="H1068" s="101"/>
      <c r="I1068" s="101"/>
      <c r="J1068" s="101"/>
    </row>
    <row r="1069" spans="3:10" ht="16.5">
      <c r="C1069" s="101"/>
      <c r="D1069" s="101"/>
      <c r="E1069" s="101"/>
      <c r="F1069" s="101"/>
      <c r="G1069" s="101"/>
      <c r="H1069" s="101"/>
      <c r="I1069" s="101"/>
      <c r="J1069" s="101"/>
    </row>
    <row r="1070" spans="3:10" ht="16.5">
      <c r="C1070" s="101"/>
      <c r="D1070" s="101"/>
      <c r="E1070" s="101"/>
      <c r="F1070" s="101"/>
      <c r="G1070" s="101"/>
      <c r="H1070" s="101"/>
      <c r="I1070" s="101"/>
      <c r="J1070" s="101"/>
    </row>
    <row r="1071" spans="3:10" ht="16.5">
      <c r="C1071" s="101"/>
      <c r="D1071" s="101"/>
      <c r="E1071" s="101"/>
      <c r="F1071" s="101"/>
      <c r="G1071" s="101"/>
      <c r="H1071" s="101"/>
      <c r="I1071" s="101"/>
      <c r="J1071" s="101"/>
    </row>
    <row r="1072" spans="3:10" ht="16.5">
      <c r="C1072" s="101"/>
      <c r="D1072" s="101"/>
      <c r="E1072" s="101"/>
      <c r="F1072" s="101"/>
      <c r="G1072" s="101"/>
      <c r="H1072" s="101"/>
      <c r="I1072" s="101"/>
      <c r="J1072" s="101"/>
    </row>
    <row r="1073" spans="3:10" ht="16.5">
      <c r="C1073" s="101"/>
      <c r="D1073" s="101"/>
      <c r="E1073" s="101"/>
      <c r="F1073" s="101"/>
      <c r="G1073" s="101"/>
      <c r="H1073" s="101"/>
      <c r="I1073" s="101"/>
      <c r="J1073" s="101"/>
    </row>
    <row r="1074" spans="3:10" ht="16.5">
      <c r="C1074" s="101"/>
      <c r="D1074" s="101"/>
      <c r="E1074" s="101"/>
      <c r="F1074" s="101"/>
      <c r="G1074" s="101"/>
      <c r="H1074" s="101"/>
      <c r="I1074" s="101"/>
      <c r="J1074" s="101"/>
    </row>
    <row r="1075" spans="3:10" ht="16.5">
      <c r="C1075" s="101"/>
      <c r="D1075" s="101"/>
      <c r="E1075" s="101"/>
      <c r="F1075" s="101"/>
      <c r="G1075" s="101"/>
      <c r="H1075" s="101"/>
      <c r="I1075" s="101"/>
      <c r="J1075" s="101"/>
    </row>
    <row r="1076" spans="3:10" ht="16.5">
      <c r="C1076" s="101"/>
      <c r="D1076" s="101"/>
      <c r="E1076" s="101"/>
      <c r="F1076" s="101"/>
      <c r="G1076" s="101"/>
      <c r="H1076" s="101"/>
      <c r="I1076" s="101"/>
      <c r="J1076" s="101"/>
    </row>
    <row r="1077" spans="3:10" ht="16.5">
      <c r="C1077" s="101"/>
      <c r="D1077" s="101"/>
      <c r="E1077" s="101"/>
      <c r="F1077" s="101"/>
      <c r="G1077" s="101"/>
      <c r="H1077" s="101"/>
      <c r="I1077" s="101"/>
      <c r="J1077" s="101"/>
    </row>
    <row r="1078" spans="3:10" ht="16.5">
      <c r="C1078" s="101"/>
      <c r="D1078" s="101"/>
      <c r="E1078" s="101"/>
      <c r="F1078" s="101"/>
      <c r="G1078" s="101"/>
      <c r="H1078" s="101"/>
      <c r="I1078" s="101"/>
      <c r="J1078" s="101"/>
    </row>
    <row r="1079" spans="3:10" ht="16.5">
      <c r="C1079" s="101"/>
      <c r="D1079" s="101"/>
      <c r="E1079" s="101"/>
      <c r="F1079" s="101"/>
      <c r="G1079" s="101"/>
      <c r="H1079" s="101"/>
      <c r="I1079" s="101"/>
      <c r="J1079" s="101"/>
    </row>
    <row r="1080" spans="3:10" ht="16.5">
      <c r="C1080" s="101"/>
      <c r="D1080" s="101"/>
      <c r="E1080" s="101"/>
      <c r="F1080" s="101"/>
      <c r="G1080" s="101"/>
      <c r="H1080" s="101"/>
      <c r="I1080" s="101"/>
      <c r="J1080" s="101"/>
    </row>
    <row r="1081" spans="3:10" ht="16.5">
      <c r="C1081" s="101"/>
      <c r="D1081" s="101"/>
      <c r="E1081" s="101"/>
      <c r="F1081" s="101"/>
      <c r="G1081" s="101"/>
      <c r="H1081" s="101"/>
      <c r="I1081" s="101"/>
      <c r="J1081" s="101"/>
    </row>
    <row r="1082" spans="3:10" ht="16.5">
      <c r="C1082" s="101"/>
      <c r="D1082" s="101"/>
      <c r="E1082" s="101"/>
      <c r="F1082" s="101"/>
      <c r="G1082" s="101"/>
      <c r="H1082" s="101"/>
      <c r="I1082" s="101"/>
      <c r="J1082" s="101"/>
    </row>
    <row r="1083" spans="3:10" ht="16.5">
      <c r="C1083" s="101"/>
      <c r="D1083" s="101"/>
      <c r="E1083" s="101"/>
      <c r="F1083" s="101"/>
      <c r="G1083" s="101"/>
      <c r="H1083" s="101"/>
      <c r="I1083" s="101"/>
      <c r="J1083" s="101"/>
    </row>
    <row r="1084" spans="3:10" ht="16.5">
      <c r="C1084" s="101"/>
      <c r="D1084" s="101"/>
      <c r="E1084" s="101"/>
      <c r="F1084" s="101"/>
      <c r="G1084" s="101"/>
      <c r="H1084" s="101"/>
      <c r="I1084" s="101"/>
      <c r="J1084" s="101"/>
    </row>
    <row r="1085" spans="3:10" ht="16.5">
      <c r="C1085" s="101"/>
      <c r="D1085" s="101"/>
      <c r="E1085" s="101"/>
      <c r="F1085" s="101"/>
      <c r="G1085" s="101"/>
      <c r="H1085" s="101"/>
      <c r="I1085" s="101"/>
      <c r="J1085" s="101"/>
    </row>
    <row r="1086" spans="3:10" ht="16.5">
      <c r="C1086" s="101"/>
      <c r="D1086" s="101"/>
      <c r="E1086" s="101"/>
      <c r="F1086" s="101"/>
      <c r="G1086" s="101"/>
      <c r="H1086" s="101"/>
      <c r="I1086" s="101"/>
      <c r="J1086" s="101"/>
    </row>
    <row r="1087" spans="3:10" ht="16.5">
      <c r="C1087" s="101"/>
      <c r="D1087" s="101"/>
      <c r="E1087" s="101"/>
      <c r="F1087" s="101"/>
      <c r="G1087" s="101"/>
      <c r="H1087" s="101"/>
      <c r="I1087" s="101"/>
      <c r="J1087" s="101"/>
    </row>
    <row r="1088" spans="3:10" ht="16.5">
      <c r="C1088" s="101"/>
      <c r="D1088" s="101"/>
      <c r="E1088" s="101"/>
      <c r="F1088" s="101"/>
      <c r="G1088" s="101"/>
      <c r="H1088" s="101"/>
      <c r="I1088" s="101"/>
      <c r="J1088" s="101"/>
    </row>
    <row r="1089" spans="3:10" ht="16.5">
      <c r="C1089" s="101"/>
      <c r="D1089" s="101"/>
      <c r="E1089" s="101"/>
      <c r="F1089" s="101"/>
      <c r="G1089" s="101"/>
      <c r="H1089" s="101"/>
      <c r="I1089" s="101"/>
      <c r="J1089" s="101"/>
    </row>
    <row r="1090" spans="3:10" ht="16.5">
      <c r="C1090" s="101"/>
      <c r="D1090" s="101"/>
      <c r="E1090" s="101"/>
      <c r="F1090" s="101"/>
      <c r="G1090" s="101"/>
      <c r="H1090" s="101"/>
      <c r="I1090" s="101"/>
      <c r="J1090" s="101"/>
    </row>
    <row r="1091" spans="3:10" ht="16.5">
      <c r="C1091" s="101"/>
      <c r="D1091" s="101"/>
      <c r="E1091" s="101"/>
      <c r="F1091" s="101"/>
      <c r="G1091" s="101"/>
      <c r="H1091" s="101"/>
      <c r="I1091" s="101"/>
      <c r="J1091" s="101"/>
    </row>
    <row r="1092" spans="3:10" ht="16.5">
      <c r="C1092" s="101"/>
      <c r="D1092" s="101"/>
      <c r="E1092" s="101"/>
      <c r="F1092" s="101"/>
      <c r="G1092" s="101"/>
      <c r="H1092" s="101"/>
      <c r="I1092" s="101"/>
      <c r="J1092" s="101"/>
    </row>
    <row r="1093" spans="3:10" ht="16.5">
      <c r="C1093" s="101"/>
      <c r="D1093" s="101"/>
      <c r="E1093" s="101"/>
      <c r="F1093" s="101"/>
      <c r="G1093" s="101"/>
      <c r="H1093" s="101"/>
      <c r="I1093" s="101"/>
      <c r="J1093" s="101"/>
    </row>
    <row r="1094" spans="3:10" ht="16.5">
      <c r="C1094" s="101"/>
      <c r="D1094" s="101"/>
      <c r="E1094" s="101"/>
      <c r="F1094" s="101"/>
      <c r="G1094" s="101"/>
      <c r="H1094" s="101"/>
      <c r="I1094" s="101"/>
      <c r="J1094" s="101"/>
    </row>
    <row r="1095" spans="3:10" ht="16.5">
      <c r="C1095" s="101"/>
      <c r="D1095" s="101"/>
      <c r="E1095" s="101"/>
      <c r="F1095" s="101"/>
      <c r="G1095" s="101"/>
      <c r="H1095" s="101"/>
      <c r="I1095" s="101"/>
      <c r="J1095" s="101"/>
    </row>
    <row r="1096" spans="3:10" ht="16.5">
      <c r="C1096" s="101"/>
      <c r="D1096" s="101"/>
      <c r="E1096" s="101"/>
      <c r="F1096" s="101"/>
      <c r="G1096" s="101"/>
      <c r="H1096" s="101"/>
      <c r="I1096" s="101"/>
      <c r="J1096" s="101"/>
    </row>
    <row r="1097" spans="3:10" ht="16.5">
      <c r="C1097" s="101"/>
      <c r="D1097" s="101"/>
      <c r="E1097" s="101"/>
      <c r="F1097" s="101"/>
      <c r="G1097" s="101"/>
      <c r="H1097" s="101"/>
      <c r="I1097" s="101"/>
      <c r="J1097" s="101"/>
    </row>
    <row r="1098" spans="3:10" ht="16.5">
      <c r="C1098" s="101"/>
      <c r="D1098" s="101"/>
      <c r="E1098" s="101"/>
      <c r="F1098" s="101"/>
      <c r="G1098" s="101"/>
      <c r="H1098" s="101"/>
      <c r="I1098" s="101"/>
      <c r="J1098" s="101"/>
    </row>
    <row r="1099" spans="3:10" ht="16.5">
      <c r="C1099" s="101"/>
      <c r="D1099" s="101"/>
      <c r="E1099" s="101"/>
      <c r="F1099" s="101"/>
      <c r="G1099" s="101"/>
      <c r="H1099" s="101"/>
      <c r="I1099" s="101"/>
      <c r="J1099" s="101"/>
    </row>
    <row r="1100" spans="3:10" ht="16.5">
      <c r="C1100" s="101"/>
      <c r="D1100" s="101"/>
      <c r="E1100" s="101"/>
      <c r="F1100" s="101"/>
      <c r="G1100" s="101"/>
      <c r="H1100" s="101"/>
      <c r="I1100" s="101"/>
      <c r="J1100" s="101"/>
    </row>
    <row r="1101" spans="3:10" ht="16.5">
      <c r="C1101" s="101"/>
      <c r="D1101" s="101"/>
      <c r="E1101" s="101"/>
      <c r="F1101" s="101"/>
      <c r="G1101" s="101"/>
      <c r="H1101" s="101"/>
      <c r="I1101" s="101"/>
      <c r="J1101" s="101"/>
    </row>
    <row r="1102" spans="3:10" ht="16.5">
      <c r="C1102" s="101"/>
      <c r="D1102" s="101"/>
      <c r="E1102" s="101"/>
      <c r="F1102" s="101"/>
      <c r="G1102" s="101"/>
      <c r="H1102" s="101"/>
      <c r="I1102" s="101"/>
      <c r="J1102" s="101"/>
    </row>
    <row r="1103" spans="3:10" ht="16.5">
      <c r="C1103" s="101"/>
      <c r="D1103" s="101"/>
      <c r="E1103" s="101"/>
      <c r="F1103" s="101"/>
      <c r="G1103" s="101"/>
      <c r="H1103" s="101"/>
      <c r="I1103" s="101"/>
      <c r="J1103" s="101"/>
    </row>
    <row r="1104" spans="3:10" ht="16.5">
      <c r="C1104" s="101"/>
      <c r="D1104" s="101"/>
      <c r="E1104" s="101"/>
      <c r="F1104" s="101"/>
      <c r="G1104" s="101"/>
      <c r="H1104" s="101"/>
      <c r="I1104" s="101"/>
      <c r="J1104" s="101"/>
    </row>
    <row r="1105" spans="3:10" ht="16.5">
      <c r="C1105" s="101"/>
      <c r="D1105" s="101"/>
      <c r="E1105" s="101"/>
      <c r="F1105" s="101"/>
      <c r="G1105" s="101"/>
      <c r="H1105" s="101"/>
      <c r="I1105" s="101"/>
      <c r="J1105" s="101"/>
    </row>
    <row r="1106" spans="3:10" ht="16.5">
      <c r="C1106" s="101"/>
      <c r="D1106" s="101"/>
      <c r="E1106" s="101"/>
      <c r="F1106" s="101"/>
      <c r="G1106" s="101"/>
      <c r="H1106" s="101"/>
      <c r="I1106" s="101"/>
      <c r="J1106" s="101"/>
    </row>
    <row r="1107" spans="3:10" ht="16.5">
      <c r="C1107" s="101"/>
      <c r="D1107" s="101"/>
      <c r="E1107" s="101"/>
      <c r="F1107" s="101"/>
      <c r="G1107" s="101"/>
      <c r="H1107" s="101"/>
      <c r="I1107" s="101"/>
      <c r="J1107" s="101"/>
    </row>
    <row r="1108" spans="3:10" ht="16.5">
      <c r="C1108" s="101"/>
      <c r="D1108" s="101"/>
      <c r="E1108" s="101"/>
      <c r="F1108" s="101"/>
      <c r="G1108" s="101"/>
      <c r="H1108" s="101"/>
      <c r="I1108" s="101"/>
      <c r="J1108" s="101"/>
    </row>
    <row r="1109" spans="3:10" ht="16.5">
      <c r="C1109" s="101"/>
      <c r="D1109" s="101"/>
      <c r="E1109" s="101"/>
      <c r="F1109" s="101"/>
      <c r="G1109" s="101"/>
      <c r="H1109" s="101"/>
      <c r="I1109" s="101"/>
      <c r="J1109" s="101"/>
    </row>
    <row r="1110" spans="3:10" ht="16.5">
      <c r="C1110" s="101"/>
      <c r="D1110" s="101"/>
      <c r="E1110" s="101"/>
      <c r="F1110" s="101"/>
      <c r="G1110" s="101"/>
      <c r="H1110" s="101"/>
      <c r="I1110" s="101"/>
      <c r="J1110" s="101"/>
    </row>
    <row r="1111" spans="3:10" ht="16.5">
      <c r="C1111" s="101"/>
      <c r="D1111" s="101"/>
      <c r="E1111" s="101"/>
      <c r="F1111" s="101"/>
      <c r="G1111" s="101"/>
      <c r="H1111" s="101"/>
      <c r="I1111" s="101"/>
      <c r="J1111" s="101"/>
    </row>
    <row r="1112" spans="3:10" ht="16.5">
      <c r="C1112" s="101"/>
      <c r="D1112" s="101"/>
      <c r="E1112" s="101"/>
      <c r="F1112" s="101"/>
      <c r="G1112" s="101"/>
      <c r="H1112" s="101"/>
      <c r="I1112" s="101"/>
      <c r="J1112" s="101"/>
    </row>
    <row r="1113" spans="3:10" ht="16.5">
      <c r="C1113" s="101"/>
      <c r="D1113" s="101"/>
      <c r="E1113" s="101"/>
      <c r="F1113" s="101"/>
      <c r="G1113" s="101"/>
      <c r="H1113" s="101"/>
      <c r="I1113" s="101"/>
      <c r="J1113" s="101"/>
    </row>
    <row r="1114" spans="3:10" ht="16.5">
      <c r="C1114" s="101"/>
      <c r="D1114" s="101"/>
      <c r="E1114" s="101"/>
      <c r="F1114" s="101"/>
      <c r="G1114" s="101"/>
      <c r="H1114" s="101"/>
      <c r="I1114" s="101"/>
      <c r="J1114" s="101"/>
    </row>
    <row r="1115" spans="3:10" ht="16.5">
      <c r="C1115" s="101"/>
      <c r="D1115" s="101"/>
      <c r="E1115" s="101"/>
      <c r="F1115" s="101"/>
      <c r="G1115" s="101"/>
      <c r="H1115" s="101"/>
      <c r="I1115" s="101"/>
      <c r="J1115" s="101"/>
    </row>
    <row r="1116" spans="3:10" ht="16.5">
      <c r="C1116" s="101"/>
      <c r="D1116" s="101"/>
      <c r="E1116" s="101"/>
      <c r="F1116" s="101"/>
      <c r="G1116" s="101"/>
      <c r="H1116" s="101"/>
      <c r="I1116" s="101"/>
      <c r="J1116" s="101"/>
    </row>
    <row r="1117" spans="3:10" ht="16.5">
      <c r="C1117" s="101"/>
      <c r="D1117" s="101"/>
      <c r="E1117" s="101"/>
      <c r="F1117" s="101"/>
      <c r="G1117" s="101"/>
      <c r="H1117" s="101"/>
      <c r="I1117" s="101"/>
      <c r="J1117" s="101"/>
    </row>
    <row r="1118" spans="3:10" ht="16.5">
      <c r="C1118" s="101"/>
      <c r="D1118" s="101"/>
      <c r="E1118" s="101"/>
      <c r="F1118" s="101"/>
      <c r="G1118" s="101"/>
      <c r="H1118" s="101"/>
      <c r="I1118" s="101"/>
      <c r="J1118" s="101"/>
    </row>
    <row r="1119" spans="3:10" ht="16.5">
      <c r="C1119" s="101"/>
      <c r="D1119" s="101"/>
      <c r="E1119" s="101"/>
      <c r="F1119" s="101"/>
      <c r="G1119" s="101"/>
      <c r="H1119" s="101"/>
      <c r="I1119" s="101"/>
      <c r="J1119" s="101"/>
    </row>
    <row r="1120" spans="3:10" ht="16.5">
      <c r="C1120" s="101"/>
      <c r="D1120" s="101"/>
      <c r="E1120" s="101"/>
      <c r="F1120" s="101"/>
      <c r="G1120" s="101"/>
      <c r="H1120" s="101"/>
      <c r="I1120" s="101"/>
      <c r="J1120" s="101"/>
    </row>
    <row r="1121" spans="3:10" ht="16.5">
      <c r="C1121" s="101"/>
      <c r="D1121" s="101"/>
      <c r="E1121" s="101"/>
      <c r="F1121" s="101"/>
      <c r="G1121" s="101"/>
      <c r="H1121" s="101"/>
      <c r="I1121" s="101"/>
      <c r="J1121" s="101"/>
    </row>
    <row r="1122" spans="3:10" ht="16.5">
      <c r="C1122" s="101"/>
      <c r="D1122" s="101"/>
      <c r="E1122" s="101"/>
      <c r="F1122" s="101"/>
      <c r="G1122" s="101"/>
      <c r="H1122" s="101"/>
      <c r="I1122" s="101"/>
      <c r="J1122" s="101"/>
    </row>
    <row r="1123" spans="3:10" ht="16.5">
      <c r="C1123" s="101"/>
      <c r="D1123" s="101"/>
      <c r="E1123" s="101"/>
      <c r="F1123" s="101"/>
      <c r="G1123" s="101"/>
      <c r="H1123" s="101"/>
      <c r="I1123" s="101"/>
      <c r="J1123" s="101"/>
    </row>
    <row r="1124" spans="3:10" ht="16.5">
      <c r="C1124" s="101"/>
      <c r="D1124" s="101"/>
      <c r="E1124" s="101"/>
      <c r="F1124" s="101"/>
      <c r="G1124" s="101"/>
      <c r="H1124" s="101"/>
      <c r="I1124" s="101"/>
      <c r="J1124" s="101"/>
    </row>
    <row r="1125" spans="3:10" ht="16.5">
      <c r="C1125" s="101"/>
      <c r="D1125" s="101"/>
      <c r="E1125" s="101"/>
      <c r="F1125" s="101"/>
      <c r="G1125" s="101"/>
      <c r="H1125" s="101"/>
      <c r="I1125" s="101"/>
      <c r="J1125" s="101"/>
    </row>
    <row r="1126" spans="3:10" ht="16.5">
      <c r="C1126" s="101"/>
      <c r="D1126" s="101"/>
      <c r="E1126" s="101"/>
      <c r="F1126" s="101"/>
      <c r="G1126" s="101"/>
      <c r="H1126" s="101"/>
      <c r="I1126" s="101"/>
      <c r="J1126" s="101"/>
    </row>
    <row r="1127" spans="3:10" ht="16.5">
      <c r="C1127" s="101"/>
      <c r="D1127" s="101"/>
      <c r="E1127" s="101"/>
      <c r="F1127" s="101"/>
      <c r="G1127" s="101"/>
      <c r="H1127" s="101"/>
      <c r="I1127" s="101"/>
      <c r="J1127" s="101"/>
    </row>
    <row r="1128" spans="3:10" ht="16.5">
      <c r="C1128" s="101"/>
      <c r="D1128" s="101"/>
      <c r="E1128" s="101"/>
      <c r="F1128" s="101"/>
      <c r="G1128" s="101"/>
      <c r="H1128" s="101"/>
      <c r="I1128" s="101"/>
      <c r="J1128" s="101"/>
    </row>
    <row r="1129" spans="3:10" ht="16.5">
      <c r="C1129" s="101"/>
      <c r="D1129" s="101"/>
      <c r="E1129" s="101"/>
      <c r="F1129" s="101"/>
      <c r="G1129" s="101"/>
      <c r="H1129" s="101"/>
      <c r="I1129" s="101"/>
      <c r="J1129" s="101"/>
    </row>
    <row r="1130" spans="3:10" ht="16.5">
      <c r="C1130" s="101"/>
      <c r="D1130" s="101"/>
      <c r="E1130" s="101"/>
      <c r="F1130" s="101"/>
      <c r="G1130" s="101"/>
      <c r="H1130" s="101"/>
      <c r="I1130" s="101"/>
      <c r="J1130" s="101"/>
    </row>
    <row r="1131" spans="3:10" ht="16.5">
      <c r="C1131" s="101"/>
      <c r="D1131" s="101"/>
      <c r="E1131" s="101"/>
      <c r="F1131" s="101"/>
      <c r="G1131" s="101"/>
      <c r="H1131" s="101"/>
      <c r="I1131" s="101"/>
      <c r="J1131" s="101"/>
    </row>
    <row r="1132" spans="3:10" ht="16.5">
      <c r="C1132" s="101"/>
      <c r="D1132" s="101"/>
      <c r="E1132" s="101"/>
      <c r="F1132" s="101"/>
      <c r="G1132" s="101"/>
      <c r="H1132" s="101"/>
      <c r="I1132" s="101"/>
      <c r="J1132" s="101"/>
    </row>
    <row r="1133" spans="3:10" ht="16.5">
      <c r="C1133" s="101"/>
      <c r="D1133" s="101"/>
      <c r="E1133" s="101"/>
      <c r="F1133" s="101"/>
      <c r="G1133" s="101"/>
      <c r="H1133" s="101"/>
      <c r="I1133" s="101"/>
      <c r="J1133" s="101"/>
    </row>
    <row r="1134" spans="3:10" ht="16.5">
      <c r="C1134" s="101"/>
      <c r="D1134" s="101"/>
      <c r="E1134" s="101"/>
      <c r="F1134" s="101"/>
      <c r="G1134" s="101"/>
      <c r="H1134" s="101"/>
      <c r="I1134" s="101"/>
      <c r="J1134" s="101"/>
    </row>
    <row r="1135" spans="3:10" ht="16.5">
      <c r="C1135" s="101"/>
      <c r="D1135" s="101"/>
      <c r="E1135" s="101"/>
      <c r="F1135" s="101"/>
      <c r="G1135" s="101"/>
      <c r="H1135" s="101"/>
      <c r="I1135" s="101"/>
      <c r="J1135" s="101"/>
    </row>
    <row r="1136" spans="3:10" ht="16.5">
      <c r="C1136" s="101"/>
      <c r="D1136" s="101"/>
      <c r="E1136" s="101"/>
      <c r="F1136" s="101"/>
      <c r="G1136" s="101"/>
      <c r="H1136" s="101"/>
      <c r="I1136" s="101"/>
      <c r="J1136" s="101"/>
    </row>
    <row r="1137" spans="3:10" ht="16.5">
      <c r="C1137" s="101"/>
      <c r="D1137" s="101"/>
      <c r="E1137" s="101"/>
      <c r="F1137" s="101"/>
      <c r="G1137" s="101"/>
      <c r="H1137" s="101"/>
      <c r="I1137" s="101"/>
      <c r="J1137" s="101"/>
    </row>
    <row r="1138" spans="3:10" ht="16.5">
      <c r="C1138" s="101"/>
      <c r="D1138" s="101"/>
      <c r="E1138" s="101"/>
      <c r="F1138" s="101"/>
      <c r="G1138" s="101"/>
      <c r="H1138" s="101"/>
      <c r="I1138" s="101"/>
      <c r="J1138" s="101"/>
    </row>
    <row r="1139" spans="3:10" ht="16.5">
      <c r="C1139" s="101"/>
      <c r="D1139" s="101"/>
      <c r="E1139" s="101"/>
      <c r="F1139" s="101"/>
      <c r="G1139" s="101"/>
      <c r="H1139" s="101"/>
      <c r="I1139" s="101"/>
      <c r="J1139" s="101"/>
    </row>
    <row r="1140" spans="3:10" ht="16.5">
      <c r="C1140" s="101"/>
      <c r="D1140" s="101"/>
      <c r="E1140" s="101"/>
      <c r="F1140" s="101"/>
      <c r="G1140" s="101"/>
      <c r="H1140" s="101"/>
      <c r="I1140" s="101"/>
      <c r="J1140" s="101"/>
    </row>
    <row r="1141" spans="3:10" ht="16.5">
      <c r="C1141" s="101"/>
      <c r="D1141" s="101"/>
      <c r="E1141" s="101"/>
      <c r="F1141" s="101"/>
      <c r="G1141" s="101"/>
      <c r="H1141" s="101"/>
      <c r="I1141" s="101"/>
      <c r="J1141" s="101"/>
    </row>
    <row r="1142" spans="3:10" ht="16.5">
      <c r="C1142" s="101"/>
      <c r="D1142" s="101"/>
      <c r="E1142" s="101"/>
      <c r="F1142" s="101"/>
      <c r="G1142" s="101"/>
      <c r="H1142" s="101"/>
      <c r="I1142" s="101"/>
      <c r="J1142" s="101"/>
    </row>
    <row r="1143" spans="3:10" ht="16.5">
      <c r="C1143" s="101"/>
      <c r="D1143" s="101"/>
      <c r="E1143" s="101"/>
      <c r="F1143" s="101"/>
      <c r="G1143" s="101"/>
      <c r="H1143" s="101"/>
      <c r="I1143" s="101"/>
      <c r="J1143" s="101"/>
    </row>
    <row r="1144" spans="3:10" ht="16.5">
      <c r="C1144" s="101"/>
      <c r="D1144" s="101"/>
      <c r="E1144" s="101"/>
      <c r="F1144" s="101"/>
      <c r="G1144" s="101"/>
      <c r="H1144" s="101"/>
      <c r="I1144" s="101"/>
      <c r="J1144" s="101"/>
    </row>
    <row r="1145" spans="3:10" ht="16.5">
      <c r="C1145" s="101"/>
      <c r="D1145" s="101"/>
      <c r="E1145" s="101"/>
      <c r="F1145" s="101"/>
      <c r="G1145" s="101"/>
      <c r="H1145" s="101"/>
      <c r="I1145" s="101"/>
      <c r="J1145" s="101"/>
    </row>
    <row r="1146" spans="3:10" ht="16.5">
      <c r="C1146" s="101"/>
      <c r="D1146" s="101"/>
      <c r="E1146" s="101"/>
      <c r="F1146" s="101"/>
      <c r="G1146" s="101"/>
      <c r="H1146" s="101"/>
      <c r="I1146" s="101"/>
      <c r="J1146" s="101"/>
    </row>
    <row r="1147" spans="3:10" ht="16.5">
      <c r="C1147" s="101"/>
      <c r="D1147" s="101"/>
      <c r="E1147" s="101"/>
      <c r="F1147" s="101"/>
      <c r="G1147" s="101"/>
      <c r="H1147" s="101"/>
      <c r="I1147" s="101"/>
      <c r="J1147" s="101"/>
    </row>
    <row r="1148" spans="3:10" ht="16.5">
      <c r="C1148" s="101"/>
      <c r="D1148" s="101"/>
      <c r="E1148" s="101"/>
      <c r="F1148" s="101"/>
      <c r="G1148" s="101"/>
      <c r="H1148" s="101"/>
      <c r="I1148" s="101"/>
      <c r="J1148" s="101"/>
    </row>
    <row r="1149" spans="3:10" ht="16.5">
      <c r="C1149" s="101"/>
      <c r="D1149" s="101"/>
      <c r="E1149" s="101"/>
      <c r="F1149" s="101"/>
      <c r="G1149" s="101"/>
      <c r="H1149" s="101"/>
      <c r="I1149" s="101"/>
      <c r="J1149" s="101"/>
    </row>
    <row r="1150" spans="3:10" ht="16.5">
      <c r="C1150" s="101"/>
      <c r="D1150" s="101"/>
      <c r="E1150" s="101"/>
      <c r="F1150" s="101"/>
      <c r="G1150" s="101"/>
      <c r="H1150" s="101"/>
      <c r="I1150" s="101"/>
      <c r="J1150" s="101"/>
    </row>
    <row r="1151" spans="3:10" ht="16.5">
      <c r="C1151" s="101"/>
      <c r="D1151" s="101"/>
      <c r="E1151" s="101"/>
      <c r="F1151" s="101"/>
      <c r="G1151" s="101"/>
      <c r="H1151" s="101"/>
      <c r="I1151" s="101"/>
      <c r="J1151" s="101"/>
    </row>
    <row r="1152" spans="3:10" ht="16.5">
      <c r="C1152" s="101"/>
      <c r="D1152" s="101"/>
      <c r="E1152" s="101"/>
      <c r="F1152" s="101"/>
      <c r="G1152" s="101"/>
      <c r="H1152" s="101"/>
      <c r="I1152" s="101"/>
      <c r="J1152" s="101"/>
    </row>
    <row r="1153" spans="3:10" ht="16.5">
      <c r="C1153" s="101"/>
      <c r="D1153" s="101"/>
      <c r="E1153" s="101"/>
      <c r="F1153" s="101"/>
      <c r="G1153" s="101"/>
      <c r="H1153" s="101"/>
      <c r="I1153" s="101"/>
      <c r="J1153" s="101"/>
    </row>
    <row r="1154" spans="3:10" ht="16.5">
      <c r="C1154" s="101"/>
      <c r="D1154" s="101"/>
      <c r="E1154" s="101"/>
      <c r="F1154" s="101"/>
      <c r="G1154" s="101"/>
      <c r="H1154" s="101"/>
      <c r="I1154" s="101"/>
      <c r="J1154" s="101"/>
    </row>
    <row r="1155" spans="3:10" ht="16.5">
      <c r="C1155" s="101"/>
      <c r="D1155" s="101"/>
      <c r="E1155" s="101"/>
      <c r="F1155" s="101"/>
      <c r="G1155" s="101"/>
      <c r="H1155" s="101"/>
      <c r="I1155" s="101"/>
      <c r="J1155" s="101"/>
    </row>
    <row r="1156" spans="3:10" ht="16.5">
      <c r="C1156" s="101"/>
      <c r="D1156" s="101"/>
      <c r="E1156" s="101"/>
      <c r="F1156" s="101"/>
      <c r="G1156" s="101"/>
      <c r="H1156" s="101"/>
      <c r="I1156" s="101"/>
      <c r="J1156" s="101"/>
    </row>
    <row r="1157" spans="3:10" ht="16.5">
      <c r="C1157" s="101"/>
      <c r="D1157" s="101"/>
      <c r="E1157" s="101"/>
      <c r="F1157" s="101"/>
      <c r="G1157" s="101"/>
      <c r="H1157" s="101"/>
      <c r="I1157" s="101"/>
      <c r="J1157" s="101"/>
    </row>
    <row r="1158" spans="3:10" ht="16.5">
      <c r="C1158" s="101"/>
      <c r="D1158" s="101"/>
      <c r="E1158" s="101"/>
      <c r="F1158" s="101"/>
      <c r="G1158" s="101"/>
      <c r="H1158" s="101"/>
      <c r="I1158" s="101"/>
      <c r="J1158" s="101"/>
    </row>
    <row r="1159" spans="3:10" ht="16.5">
      <c r="C1159" s="101"/>
      <c r="D1159" s="101"/>
      <c r="E1159" s="101"/>
      <c r="F1159" s="101"/>
      <c r="G1159" s="101"/>
      <c r="H1159" s="101"/>
      <c r="I1159" s="101"/>
      <c r="J1159" s="101"/>
    </row>
    <row r="1160" spans="3:10" ht="16.5">
      <c r="C1160" s="101"/>
      <c r="D1160" s="101"/>
      <c r="E1160" s="101"/>
      <c r="F1160" s="101"/>
      <c r="G1160" s="101"/>
      <c r="H1160" s="101"/>
      <c r="I1160" s="101"/>
      <c r="J1160" s="101"/>
    </row>
    <row r="1161" spans="3:10" ht="16.5">
      <c r="C1161" s="101"/>
      <c r="D1161" s="101"/>
      <c r="E1161" s="101"/>
      <c r="F1161" s="101"/>
      <c r="G1161" s="101"/>
      <c r="H1161" s="101"/>
      <c r="I1161" s="101"/>
      <c r="J1161" s="101"/>
    </row>
    <row r="1162" spans="3:10" ht="16.5">
      <c r="C1162" s="101"/>
      <c r="D1162" s="101"/>
      <c r="E1162" s="101"/>
      <c r="F1162" s="101"/>
      <c r="G1162" s="101"/>
      <c r="H1162" s="101"/>
      <c r="I1162" s="101"/>
      <c r="J1162" s="101"/>
    </row>
    <row r="1163" spans="3:10" ht="16.5">
      <c r="C1163" s="101"/>
      <c r="D1163" s="101"/>
      <c r="E1163" s="101"/>
      <c r="F1163" s="101"/>
      <c r="G1163" s="101"/>
      <c r="H1163" s="101"/>
      <c r="I1163" s="101"/>
      <c r="J1163" s="101"/>
    </row>
    <row r="1164" spans="3:10" ht="16.5">
      <c r="C1164" s="101"/>
      <c r="D1164" s="101"/>
      <c r="E1164" s="101"/>
      <c r="F1164" s="101"/>
      <c r="G1164" s="101"/>
      <c r="H1164" s="101"/>
      <c r="I1164" s="101"/>
      <c r="J1164" s="101"/>
    </row>
    <row r="1165" spans="3:10" ht="16.5">
      <c r="C1165" s="101"/>
      <c r="D1165" s="101"/>
      <c r="E1165" s="101"/>
      <c r="F1165" s="101"/>
      <c r="G1165" s="101"/>
      <c r="H1165" s="101"/>
      <c r="I1165" s="101"/>
      <c r="J1165" s="101"/>
    </row>
    <row r="1166" spans="3:10" ht="16.5">
      <c r="C1166" s="101"/>
      <c r="D1166" s="101"/>
      <c r="E1166" s="101"/>
      <c r="F1166" s="101"/>
      <c r="G1166" s="101"/>
      <c r="H1166" s="101"/>
      <c r="I1166" s="101"/>
      <c r="J1166" s="101"/>
    </row>
    <row r="1167" spans="3:10" ht="16.5">
      <c r="C1167" s="101"/>
      <c r="D1167" s="101"/>
      <c r="E1167" s="101"/>
      <c r="F1167" s="101"/>
      <c r="G1167" s="101"/>
      <c r="H1167" s="101"/>
      <c r="I1167" s="101"/>
      <c r="J1167" s="101"/>
    </row>
    <row r="1168" spans="3:10" ht="16.5">
      <c r="C1168" s="101"/>
      <c r="D1168" s="101"/>
      <c r="E1168" s="101"/>
      <c r="F1168" s="101"/>
      <c r="G1168" s="101"/>
      <c r="H1168" s="101"/>
      <c r="I1168" s="101"/>
      <c r="J1168" s="101"/>
    </row>
    <row r="1169" spans="3:10" ht="16.5">
      <c r="C1169" s="101"/>
      <c r="D1169" s="101"/>
      <c r="E1169" s="101"/>
      <c r="F1169" s="101"/>
      <c r="G1169" s="101"/>
      <c r="H1169" s="101"/>
      <c r="I1169" s="101"/>
      <c r="J1169" s="101"/>
    </row>
    <row r="1170" spans="3:10" ht="16.5">
      <c r="C1170" s="101"/>
      <c r="D1170" s="101"/>
      <c r="E1170" s="101"/>
      <c r="F1170" s="101"/>
      <c r="G1170" s="101"/>
      <c r="H1170" s="101"/>
      <c r="I1170" s="101"/>
      <c r="J1170" s="101"/>
    </row>
    <row r="1171" spans="3:10" ht="16.5">
      <c r="C1171" s="101"/>
      <c r="D1171" s="101"/>
      <c r="E1171" s="101"/>
      <c r="F1171" s="101"/>
      <c r="G1171" s="101"/>
      <c r="H1171" s="101"/>
      <c r="I1171" s="101"/>
      <c r="J1171" s="101"/>
    </row>
    <row r="1172" spans="3:10" ht="16.5">
      <c r="C1172" s="101"/>
      <c r="D1172" s="101"/>
      <c r="E1172" s="101"/>
      <c r="F1172" s="101"/>
      <c r="G1172" s="101"/>
      <c r="H1172" s="101"/>
      <c r="I1172" s="101"/>
      <c r="J1172" s="101"/>
    </row>
    <row r="1173" spans="3:10" ht="16.5">
      <c r="C1173" s="101"/>
      <c r="D1173" s="101"/>
      <c r="E1173" s="101"/>
      <c r="F1173" s="101"/>
      <c r="G1173" s="101"/>
      <c r="H1173" s="101"/>
      <c r="I1173" s="101"/>
      <c r="J1173" s="101"/>
    </row>
    <row r="1174" spans="3:10" ht="16.5">
      <c r="C1174" s="101"/>
      <c r="D1174" s="101"/>
      <c r="E1174" s="101"/>
      <c r="F1174" s="101"/>
      <c r="G1174" s="101"/>
      <c r="H1174" s="101"/>
      <c r="I1174" s="101"/>
      <c r="J1174" s="101"/>
    </row>
    <row r="1175" spans="3:10" ht="16.5">
      <c r="C1175" s="101"/>
      <c r="D1175" s="101"/>
      <c r="E1175" s="101"/>
      <c r="F1175" s="101"/>
      <c r="G1175" s="101"/>
      <c r="H1175" s="101"/>
      <c r="I1175" s="101"/>
      <c r="J1175" s="101"/>
    </row>
    <row r="1176" spans="3:10" ht="16.5">
      <c r="C1176" s="101"/>
      <c r="D1176" s="101"/>
      <c r="E1176" s="101"/>
      <c r="F1176" s="101"/>
      <c r="G1176" s="101"/>
      <c r="H1176" s="101"/>
      <c r="I1176" s="101"/>
      <c r="J1176" s="101"/>
    </row>
    <row r="1177" spans="3:10" ht="16.5">
      <c r="C1177" s="101"/>
      <c r="D1177" s="101"/>
      <c r="E1177" s="101"/>
      <c r="F1177" s="101"/>
      <c r="G1177" s="101"/>
      <c r="H1177" s="101"/>
      <c r="I1177" s="101"/>
      <c r="J1177" s="101"/>
    </row>
    <row r="1178" spans="3:10" ht="16.5">
      <c r="C1178" s="101"/>
      <c r="D1178" s="101"/>
      <c r="E1178" s="101"/>
      <c r="F1178" s="101"/>
      <c r="G1178" s="101"/>
      <c r="H1178" s="101"/>
      <c r="I1178" s="101"/>
      <c r="J1178" s="101"/>
    </row>
    <row r="1179" spans="3:10" ht="16.5">
      <c r="C1179" s="101"/>
      <c r="D1179" s="101"/>
      <c r="E1179" s="101"/>
      <c r="F1179" s="101"/>
      <c r="G1179" s="101"/>
      <c r="H1179" s="101"/>
      <c r="I1179" s="101"/>
      <c r="J1179" s="101"/>
    </row>
    <row r="1180" spans="3:10" ht="16.5">
      <c r="C1180" s="101"/>
      <c r="D1180" s="101"/>
      <c r="E1180" s="101"/>
      <c r="F1180" s="101"/>
      <c r="G1180" s="101"/>
      <c r="H1180" s="101"/>
      <c r="I1180" s="101"/>
      <c r="J1180" s="101"/>
    </row>
    <row r="1181" spans="3:10" ht="16.5">
      <c r="C1181" s="101"/>
      <c r="D1181" s="101"/>
      <c r="E1181" s="101"/>
      <c r="F1181" s="101"/>
      <c r="G1181" s="101"/>
      <c r="H1181" s="101"/>
      <c r="I1181" s="101"/>
      <c r="J1181" s="101"/>
    </row>
    <row r="1182" spans="3:10" ht="16.5">
      <c r="C1182" s="101"/>
      <c r="D1182" s="101"/>
      <c r="E1182" s="101"/>
      <c r="F1182" s="101"/>
      <c r="G1182" s="101"/>
      <c r="H1182" s="101"/>
      <c r="I1182" s="101"/>
      <c r="J1182" s="101"/>
    </row>
    <row r="1183" spans="3:10" ht="16.5">
      <c r="C1183" s="101"/>
      <c r="D1183" s="101"/>
      <c r="E1183" s="101"/>
      <c r="F1183" s="101"/>
      <c r="G1183" s="101"/>
      <c r="H1183" s="101"/>
      <c r="I1183" s="101"/>
      <c r="J1183" s="101"/>
    </row>
    <row r="1184" spans="3:10" ht="16.5">
      <c r="C1184" s="101"/>
      <c r="D1184" s="101"/>
      <c r="E1184" s="101"/>
      <c r="F1184" s="101"/>
      <c r="G1184" s="101"/>
      <c r="H1184" s="101"/>
      <c r="I1184" s="101"/>
      <c r="J1184" s="101"/>
    </row>
    <row r="1185" spans="3:10" ht="16.5">
      <c r="C1185" s="101"/>
      <c r="D1185" s="101"/>
      <c r="E1185" s="101"/>
      <c r="F1185" s="101"/>
      <c r="G1185" s="101"/>
      <c r="H1185" s="101"/>
      <c r="I1185" s="101"/>
      <c r="J1185" s="101"/>
    </row>
    <row r="1186" spans="3:10" ht="16.5">
      <c r="C1186" s="101"/>
      <c r="D1186" s="101"/>
      <c r="E1186" s="101"/>
      <c r="F1186" s="101"/>
      <c r="G1186" s="101"/>
      <c r="H1186" s="101"/>
      <c r="I1186" s="101"/>
      <c r="J1186" s="101"/>
    </row>
    <row r="1187" spans="3:10" ht="16.5">
      <c r="C1187" s="101"/>
      <c r="D1187" s="101"/>
      <c r="E1187" s="101"/>
      <c r="F1187" s="101"/>
      <c r="G1187" s="101"/>
      <c r="H1187" s="101"/>
      <c r="I1187" s="101"/>
      <c r="J1187" s="101"/>
    </row>
    <row r="1188" spans="3:10" ht="16.5">
      <c r="C1188" s="101"/>
      <c r="D1188" s="101"/>
      <c r="E1188" s="101"/>
      <c r="F1188" s="101"/>
      <c r="G1188" s="101"/>
      <c r="H1188" s="101"/>
      <c r="I1188" s="101"/>
      <c r="J1188" s="101"/>
    </row>
    <row r="1189" spans="3:10" ht="16.5">
      <c r="C1189" s="101"/>
      <c r="D1189" s="101"/>
      <c r="E1189" s="101"/>
      <c r="F1189" s="101"/>
      <c r="G1189" s="101"/>
      <c r="H1189" s="101"/>
      <c r="I1189" s="101"/>
      <c r="J1189" s="101"/>
    </row>
    <row r="1190" spans="3:10" ht="16.5">
      <c r="C1190" s="101"/>
      <c r="D1190" s="101"/>
      <c r="E1190" s="101"/>
      <c r="F1190" s="101"/>
      <c r="G1190" s="101"/>
      <c r="H1190" s="101"/>
      <c r="I1190" s="101"/>
      <c r="J1190" s="101"/>
    </row>
    <row r="1191" spans="3:10" ht="16.5">
      <c r="C1191" s="101"/>
      <c r="D1191" s="101"/>
      <c r="E1191" s="101"/>
      <c r="F1191" s="101"/>
      <c r="G1191" s="101"/>
      <c r="H1191" s="101"/>
      <c r="I1191" s="101"/>
      <c r="J1191" s="101"/>
    </row>
    <row r="1192" spans="3:10" ht="16.5">
      <c r="C1192" s="101"/>
      <c r="D1192" s="101"/>
      <c r="E1192" s="101"/>
      <c r="F1192" s="101"/>
      <c r="G1192" s="101"/>
      <c r="H1192" s="101"/>
      <c r="I1192" s="101"/>
      <c r="J1192" s="101"/>
    </row>
    <row r="1193" spans="3:10" ht="16.5">
      <c r="C1193" s="101"/>
      <c r="D1193" s="101"/>
      <c r="E1193" s="101"/>
      <c r="F1193" s="101"/>
      <c r="G1193" s="101"/>
      <c r="H1193" s="101"/>
      <c r="I1193" s="101"/>
      <c r="J1193" s="101"/>
    </row>
    <row r="1194" spans="3:10" ht="16.5">
      <c r="C1194" s="101"/>
      <c r="D1194" s="101"/>
      <c r="E1194" s="101"/>
      <c r="F1194" s="101"/>
      <c r="G1194" s="101"/>
      <c r="H1194" s="101"/>
      <c r="I1194" s="101"/>
      <c r="J1194" s="101"/>
    </row>
    <row r="1195" spans="3:10" ht="16.5">
      <c r="C1195" s="101"/>
      <c r="D1195" s="101"/>
      <c r="E1195" s="101"/>
      <c r="F1195" s="101"/>
      <c r="G1195" s="101"/>
      <c r="H1195" s="101"/>
      <c r="I1195" s="101"/>
      <c r="J1195" s="101"/>
    </row>
    <row r="1196" spans="3:10" ht="16.5">
      <c r="C1196" s="101"/>
      <c r="D1196" s="101"/>
      <c r="E1196" s="101"/>
      <c r="F1196" s="101"/>
      <c r="G1196" s="101"/>
      <c r="H1196" s="101"/>
      <c r="I1196" s="101"/>
      <c r="J1196" s="101"/>
    </row>
    <row r="1197" spans="3:10" ht="16.5">
      <c r="C1197" s="101"/>
      <c r="D1197" s="101"/>
      <c r="E1197" s="101"/>
      <c r="F1197" s="101"/>
      <c r="G1197" s="101"/>
      <c r="H1197" s="101"/>
      <c r="I1197" s="101"/>
      <c r="J1197" s="101"/>
    </row>
    <row r="1198" spans="3:10" ht="16.5">
      <c r="C1198" s="101"/>
      <c r="D1198" s="101"/>
      <c r="E1198" s="101"/>
      <c r="F1198" s="101"/>
      <c r="G1198" s="101"/>
      <c r="H1198" s="101"/>
      <c r="I1198" s="101"/>
      <c r="J1198" s="101"/>
    </row>
    <row r="1199" spans="3:10" ht="16.5">
      <c r="C1199" s="101"/>
      <c r="D1199" s="101"/>
      <c r="E1199" s="101"/>
      <c r="F1199" s="101"/>
      <c r="G1199" s="101"/>
      <c r="H1199" s="101"/>
      <c r="I1199" s="101"/>
      <c r="J1199" s="101"/>
    </row>
    <row r="1200" spans="3:10" ht="16.5">
      <c r="C1200" s="101"/>
      <c r="D1200" s="101"/>
      <c r="E1200" s="101"/>
      <c r="F1200" s="101"/>
      <c r="G1200" s="101"/>
      <c r="H1200" s="101"/>
      <c r="I1200" s="101"/>
      <c r="J1200" s="101"/>
    </row>
    <row r="1201" spans="3:10" ht="16.5">
      <c r="C1201" s="101"/>
      <c r="D1201" s="101"/>
      <c r="E1201" s="101"/>
      <c r="F1201" s="101"/>
      <c r="G1201" s="101"/>
      <c r="H1201" s="101"/>
      <c r="I1201" s="101"/>
      <c r="J1201" s="101"/>
    </row>
    <row r="1202" spans="3:10" ht="16.5">
      <c r="C1202" s="101"/>
      <c r="D1202" s="101"/>
      <c r="E1202" s="101"/>
      <c r="F1202" s="101"/>
      <c r="G1202" s="101"/>
      <c r="H1202" s="101"/>
      <c r="I1202" s="101"/>
      <c r="J1202" s="101"/>
    </row>
    <row r="1203" spans="3:10" ht="16.5">
      <c r="C1203" s="101"/>
      <c r="D1203" s="101"/>
      <c r="E1203" s="101"/>
      <c r="F1203" s="101"/>
      <c r="G1203" s="101"/>
      <c r="H1203" s="101"/>
      <c r="I1203" s="101"/>
      <c r="J1203" s="101"/>
    </row>
    <row r="1204" spans="3:10" ht="16.5">
      <c r="C1204" s="101"/>
      <c r="D1204" s="101"/>
      <c r="E1204" s="101"/>
      <c r="F1204" s="101"/>
      <c r="G1204" s="101"/>
      <c r="H1204" s="101"/>
      <c r="I1204" s="101"/>
      <c r="J1204" s="101"/>
    </row>
    <row r="1205" spans="3:10" ht="16.5">
      <c r="C1205" s="101"/>
      <c r="D1205" s="101"/>
      <c r="E1205" s="101"/>
      <c r="F1205" s="101"/>
      <c r="G1205" s="101"/>
      <c r="H1205" s="101"/>
      <c r="I1205" s="101"/>
      <c r="J1205" s="101"/>
    </row>
    <row r="1206" spans="3:10" ht="16.5">
      <c r="C1206" s="101"/>
      <c r="D1206" s="101"/>
      <c r="E1206" s="101"/>
      <c r="F1206" s="101"/>
      <c r="G1206" s="101"/>
      <c r="H1206" s="101"/>
      <c r="I1206" s="101"/>
      <c r="J1206" s="101"/>
    </row>
    <row r="1207" spans="3:10" ht="16.5">
      <c r="C1207" s="101"/>
      <c r="D1207" s="101"/>
      <c r="E1207" s="101"/>
      <c r="F1207" s="101"/>
      <c r="G1207" s="101"/>
      <c r="H1207" s="101"/>
      <c r="I1207" s="101"/>
      <c r="J1207" s="101"/>
    </row>
    <row r="1208" spans="3:10" ht="16.5">
      <c r="C1208" s="101"/>
      <c r="D1208" s="101"/>
      <c r="E1208" s="101"/>
      <c r="F1208" s="101"/>
      <c r="G1208" s="101"/>
      <c r="H1208" s="101"/>
      <c r="I1208" s="101"/>
      <c r="J1208" s="101"/>
    </row>
    <row r="1209" spans="3:10" ht="16.5">
      <c r="C1209" s="101"/>
      <c r="D1209" s="101"/>
      <c r="E1209" s="101"/>
      <c r="F1209" s="101"/>
      <c r="G1209" s="101"/>
      <c r="H1209" s="101"/>
      <c r="I1209" s="101"/>
      <c r="J1209" s="101"/>
    </row>
    <row r="1210" spans="3:10" ht="16.5">
      <c r="C1210" s="101"/>
      <c r="D1210" s="101"/>
      <c r="E1210" s="101"/>
      <c r="F1210" s="101"/>
      <c r="G1210" s="101"/>
      <c r="H1210" s="101"/>
      <c r="I1210" s="101"/>
      <c r="J1210" s="101"/>
    </row>
    <row r="1211" spans="3:10" ht="16.5">
      <c r="C1211" s="101"/>
      <c r="D1211" s="101"/>
      <c r="E1211" s="101"/>
      <c r="F1211" s="101"/>
      <c r="G1211" s="101"/>
      <c r="H1211" s="101"/>
      <c r="I1211" s="101"/>
      <c r="J1211" s="101"/>
    </row>
    <row r="1212" spans="3:10" ht="16.5">
      <c r="C1212" s="101"/>
      <c r="D1212" s="101"/>
      <c r="E1212" s="101"/>
      <c r="F1212" s="101"/>
      <c r="G1212" s="101"/>
      <c r="H1212" s="101"/>
      <c r="I1212" s="101"/>
      <c r="J1212" s="101"/>
    </row>
    <row r="1213" spans="3:10" ht="16.5">
      <c r="C1213" s="101"/>
      <c r="D1213" s="101"/>
      <c r="E1213" s="101"/>
      <c r="F1213" s="101"/>
      <c r="G1213" s="101"/>
      <c r="H1213" s="101"/>
      <c r="I1213" s="101"/>
      <c r="J1213" s="101"/>
    </row>
    <row r="1214" spans="3:10" ht="16.5">
      <c r="C1214" s="101"/>
      <c r="D1214" s="101"/>
      <c r="E1214" s="101"/>
      <c r="F1214" s="101"/>
      <c r="G1214" s="101"/>
      <c r="H1214" s="101"/>
      <c r="I1214" s="101"/>
      <c r="J1214" s="101"/>
    </row>
    <row r="1215" spans="3:10" ht="16.5">
      <c r="C1215" s="101"/>
      <c r="D1215" s="101"/>
      <c r="E1215" s="101"/>
      <c r="F1215" s="101"/>
      <c r="G1215" s="101"/>
      <c r="H1215" s="101"/>
      <c r="I1215" s="101"/>
      <c r="J1215" s="101"/>
    </row>
    <row r="1216" spans="3:10" ht="16.5">
      <c r="C1216" s="101"/>
      <c r="D1216" s="101"/>
      <c r="E1216" s="101"/>
      <c r="F1216" s="101"/>
      <c r="G1216" s="101"/>
      <c r="H1216" s="101"/>
      <c r="I1216" s="101"/>
      <c r="J1216" s="101"/>
    </row>
    <row r="1217" spans="3:10" ht="16.5">
      <c r="C1217" s="101"/>
      <c r="D1217" s="101"/>
      <c r="E1217" s="101"/>
      <c r="F1217" s="101"/>
      <c r="G1217" s="101"/>
      <c r="H1217" s="101"/>
      <c r="I1217" s="101"/>
      <c r="J1217" s="101"/>
    </row>
    <row r="1218" spans="3:10" ht="16.5">
      <c r="C1218" s="101"/>
      <c r="D1218" s="101"/>
      <c r="E1218" s="101"/>
      <c r="F1218" s="101"/>
      <c r="G1218" s="101"/>
      <c r="H1218" s="101"/>
      <c r="I1218" s="101"/>
      <c r="J1218" s="101"/>
    </row>
    <row r="1219" spans="3:10" ht="16.5">
      <c r="C1219" s="101"/>
      <c r="D1219" s="101"/>
      <c r="E1219" s="101"/>
      <c r="F1219" s="101"/>
      <c r="G1219" s="101"/>
      <c r="H1219" s="101"/>
      <c r="I1219" s="101"/>
      <c r="J1219" s="101"/>
    </row>
    <row r="1220" spans="3:10" ht="16.5">
      <c r="C1220" s="101"/>
      <c r="D1220" s="101"/>
      <c r="E1220" s="101"/>
      <c r="F1220" s="101"/>
      <c r="G1220" s="101"/>
      <c r="H1220" s="101"/>
      <c r="I1220" s="101"/>
      <c r="J1220" s="101"/>
    </row>
    <row r="1221" spans="3:10" ht="16.5">
      <c r="C1221" s="101"/>
      <c r="D1221" s="101"/>
      <c r="E1221" s="101"/>
      <c r="F1221" s="101"/>
      <c r="G1221" s="101"/>
      <c r="H1221" s="101"/>
      <c r="I1221" s="101"/>
      <c r="J1221" s="101"/>
    </row>
    <row r="1222" spans="3:10" ht="16.5">
      <c r="C1222" s="101"/>
      <c r="D1222" s="101"/>
      <c r="E1222" s="101"/>
      <c r="F1222" s="101"/>
      <c r="G1222" s="101"/>
      <c r="H1222" s="101"/>
      <c r="I1222" s="101"/>
      <c r="J1222" s="101"/>
    </row>
    <row r="1223" spans="3:10" ht="16.5">
      <c r="C1223" s="101"/>
      <c r="D1223" s="101"/>
      <c r="E1223" s="101"/>
      <c r="F1223" s="101"/>
      <c r="G1223" s="101"/>
      <c r="H1223" s="101"/>
      <c r="I1223" s="101"/>
      <c r="J1223" s="101"/>
    </row>
    <row r="1224" spans="3:10" ht="16.5">
      <c r="C1224" s="101"/>
      <c r="D1224" s="101"/>
      <c r="E1224" s="101"/>
      <c r="F1224" s="101"/>
      <c r="G1224" s="101"/>
      <c r="H1224" s="101"/>
      <c r="I1224" s="101"/>
      <c r="J1224" s="101"/>
    </row>
    <row r="1225" spans="3:10" ht="16.5">
      <c r="C1225" s="101"/>
      <c r="D1225" s="101"/>
      <c r="E1225" s="101"/>
      <c r="F1225" s="101"/>
      <c r="G1225" s="101"/>
      <c r="H1225" s="101"/>
      <c r="I1225" s="101"/>
      <c r="J1225" s="101"/>
    </row>
    <row r="1226" spans="3:10" ht="16.5">
      <c r="C1226" s="101"/>
      <c r="D1226" s="101"/>
      <c r="E1226" s="101"/>
      <c r="F1226" s="101"/>
      <c r="G1226" s="101"/>
      <c r="H1226" s="101"/>
      <c r="I1226" s="101"/>
      <c r="J1226" s="101"/>
    </row>
    <row r="1227" spans="3:10" ht="16.5">
      <c r="C1227" s="101"/>
      <c r="D1227" s="101"/>
      <c r="E1227" s="101"/>
      <c r="F1227" s="101"/>
      <c r="G1227" s="101"/>
      <c r="H1227" s="101"/>
      <c r="I1227" s="101"/>
      <c r="J1227" s="101"/>
    </row>
    <row r="1228" spans="3:10" ht="16.5">
      <c r="C1228" s="101"/>
      <c r="D1228" s="101"/>
      <c r="E1228" s="101"/>
      <c r="F1228" s="101"/>
      <c r="G1228" s="101"/>
      <c r="H1228" s="101"/>
      <c r="I1228" s="101"/>
      <c r="J1228" s="101"/>
    </row>
    <row r="1229" spans="3:10" ht="16.5">
      <c r="C1229" s="101"/>
      <c r="D1229" s="101"/>
      <c r="E1229" s="101"/>
      <c r="F1229" s="101"/>
      <c r="G1229" s="101"/>
      <c r="H1229" s="101"/>
      <c r="I1229" s="101"/>
      <c r="J1229" s="101"/>
    </row>
    <row r="1230" spans="3:10" ht="16.5">
      <c r="C1230" s="101"/>
      <c r="D1230" s="101"/>
      <c r="E1230" s="101"/>
      <c r="F1230" s="101"/>
      <c r="G1230" s="101"/>
      <c r="H1230" s="101"/>
      <c r="I1230" s="101"/>
      <c r="J1230" s="101"/>
    </row>
    <row r="1231" spans="3:10" ht="16.5">
      <c r="C1231" s="101"/>
      <c r="D1231" s="101"/>
      <c r="E1231" s="101"/>
      <c r="F1231" s="101"/>
      <c r="G1231" s="101"/>
      <c r="H1231" s="101"/>
      <c r="I1231" s="101"/>
      <c r="J1231" s="101"/>
    </row>
    <row r="1232" spans="3:10" ht="16.5">
      <c r="C1232" s="101"/>
      <c r="D1232" s="101"/>
      <c r="E1232" s="101"/>
      <c r="F1232" s="101"/>
      <c r="G1232" s="101"/>
      <c r="H1232" s="101"/>
      <c r="I1232" s="101"/>
      <c r="J1232" s="101"/>
    </row>
    <row r="1233" spans="3:10" ht="16.5">
      <c r="C1233" s="101"/>
      <c r="D1233" s="101"/>
      <c r="E1233" s="101"/>
      <c r="F1233" s="101"/>
      <c r="G1233" s="101"/>
      <c r="H1233" s="101"/>
      <c r="I1233" s="101"/>
      <c r="J1233" s="101"/>
    </row>
    <row r="1234" spans="3:10" ht="16.5">
      <c r="C1234" s="101"/>
      <c r="D1234" s="101"/>
      <c r="E1234" s="101"/>
      <c r="F1234" s="101"/>
      <c r="G1234" s="101"/>
      <c r="H1234" s="101"/>
      <c r="I1234" s="101"/>
      <c r="J1234" s="101"/>
    </row>
    <row r="1235" spans="3:10" ht="16.5">
      <c r="C1235" s="101"/>
      <c r="D1235" s="101"/>
      <c r="E1235" s="101"/>
      <c r="F1235" s="101"/>
      <c r="G1235" s="101"/>
      <c r="H1235" s="101"/>
      <c r="I1235" s="101"/>
      <c r="J1235" s="101"/>
    </row>
    <row r="1236" spans="3:10" ht="16.5">
      <c r="C1236" s="101"/>
      <c r="D1236" s="101"/>
      <c r="E1236" s="101"/>
      <c r="F1236" s="101"/>
      <c r="G1236" s="101"/>
      <c r="H1236" s="101"/>
      <c r="I1236" s="101"/>
      <c r="J1236" s="101"/>
    </row>
    <row r="1237" spans="3:10" ht="16.5">
      <c r="C1237" s="101"/>
      <c r="D1237" s="101"/>
      <c r="E1237" s="101"/>
      <c r="F1237" s="101"/>
      <c r="G1237" s="101"/>
      <c r="H1237" s="101"/>
      <c r="I1237" s="101"/>
      <c r="J1237" s="101"/>
    </row>
    <row r="1238" spans="3:10" ht="16.5">
      <c r="C1238" s="101"/>
      <c r="D1238" s="101"/>
      <c r="E1238" s="101"/>
      <c r="F1238" s="101"/>
      <c r="G1238" s="101"/>
      <c r="H1238" s="101"/>
      <c r="I1238" s="101"/>
      <c r="J1238" s="101"/>
    </row>
    <row r="1239" spans="3:10" ht="16.5">
      <c r="C1239" s="101"/>
      <c r="D1239" s="101"/>
      <c r="E1239" s="101"/>
      <c r="F1239" s="101"/>
      <c r="G1239" s="101"/>
      <c r="H1239" s="101"/>
      <c r="I1239" s="101"/>
      <c r="J1239" s="101"/>
    </row>
    <row r="1240" spans="3:10" ht="16.5">
      <c r="C1240" s="101"/>
      <c r="D1240" s="101"/>
      <c r="E1240" s="101"/>
      <c r="F1240" s="101"/>
      <c r="G1240" s="101"/>
      <c r="H1240" s="101"/>
      <c r="I1240" s="101"/>
      <c r="J1240" s="101"/>
    </row>
    <row r="1241" spans="3:10" ht="16.5">
      <c r="C1241" s="101"/>
      <c r="D1241" s="101"/>
      <c r="E1241" s="101"/>
      <c r="F1241" s="101"/>
      <c r="G1241" s="101"/>
      <c r="H1241" s="101"/>
      <c r="I1241" s="101"/>
      <c r="J1241" s="101"/>
    </row>
    <row r="1242" spans="3:10" ht="16.5">
      <c r="C1242" s="101"/>
      <c r="D1242" s="101"/>
      <c r="E1242" s="101"/>
      <c r="F1242" s="101"/>
      <c r="G1242" s="101"/>
      <c r="H1242" s="101"/>
      <c r="I1242" s="101"/>
      <c r="J1242" s="101"/>
    </row>
    <row r="1243" spans="3:10" ht="16.5">
      <c r="C1243" s="101"/>
      <c r="D1243" s="101"/>
      <c r="E1243" s="101"/>
      <c r="F1243" s="101"/>
      <c r="G1243" s="101"/>
      <c r="H1243" s="101"/>
      <c r="I1243" s="101"/>
      <c r="J1243" s="101"/>
    </row>
    <row r="1244" spans="3:10" ht="16.5">
      <c r="C1244" s="101"/>
      <c r="D1244" s="101"/>
      <c r="E1244" s="101"/>
      <c r="F1244" s="101"/>
      <c r="G1244" s="101"/>
      <c r="H1244" s="101"/>
      <c r="I1244" s="101"/>
      <c r="J1244" s="101"/>
    </row>
    <row r="1245" spans="3:10" ht="16.5">
      <c r="C1245" s="101"/>
      <c r="D1245" s="101"/>
      <c r="E1245" s="101"/>
      <c r="F1245" s="101"/>
      <c r="G1245" s="101"/>
      <c r="H1245" s="101"/>
      <c r="I1245" s="101"/>
      <c r="J1245" s="101"/>
    </row>
    <row r="1246" spans="3:10" ht="16.5">
      <c r="C1246" s="101"/>
      <c r="D1246" s="101"/>
      <c r="E1246" s="101"/>
      <c r="F1246" s="101"/>
      <c r="G1246" s="101"/>
      <c r="H1246" s="101"/>
      <c r="I1246" s="101"/>
      <c r="J1246" s="101"/>
    </row>
    <row r="1247" spans="3:10" ht="16.5">
      <c r="C1247" s="101"/>
      <c r="D1247" s="101"/>
      <c r="E1247" s="101"/>
      <c r="F1247" s="101"/>
      <c r="G1247" s="101"/>
      <c r="H1247" s="101"/>
      <c r="I1247" s="101"/>
      <c r="J1247" s="101"/>
    </row>
    <row r="1248" spans="3:10" ht="16.5">
      <c r="C1248" s="101"/>
      <c r="D1248" s="101"/>
      <c r="E1248" s="101"/>
      <c r="F1248" s="101"/>
      <c r="G1248" s="101"/>
      <c r="H1248" s="101"/>
      <c r="I1248" s="101"/>
      <c r="J1248" s="101"/>
    </row>
    <row r="1249" spans="3:10" ht="16.5">
      <c r="C1249" s="101"/>
      <c r="D1249" s="101"/>
      <c r="E1249" s="101"/>
      <c r="F1249" s="101"/>
      <c r="G1249" s="101"/>
      <c r="H1249" s="101"/>
      <c r="I1249" s="101"/>
      <c r="J1249" s="101"/>
    </row>
    <row r="1250" spans="3:10" ht="16.5">
      <c r="C1250" s="101"/>
      <c r="D1250" s="101"/>
      <c r="E1250" s="101"/>
      <c r="F1250" s="101"/>
      <c r="G1250" s="101"/>
      <c r="H1250" s="101"/>
      <c r="I1250" s="101"/>
      <c r="J1250" s="101"/>
    </row>
    <row r="1251" spans="3:10" ht="16.5">
      <c r="C1251" s="101"/>
      <c r="D1251" s="101"/>
      <c r="E1251" s="101"/>
      <c r="F1251" s="101"/>
      <c r="G1251" s="101"/>
      <c r="H1251" s="101"/>
      <c r="I1251" s="101"/>
      <c r="J1251" s="101"/>
    </row>
    <row r="1252" spans="3:10" ht="16.5">
      <c r="C1252" s="101"/>
      <c r="D1252" s="101"/>
      <c r="E1252" s="101"/>
      <c r="F1252" s="101"/>
      <c r="G1252" s="101"/>
      <c r="H1252" s="101"/>
      <c r="I1252" s="101"/>
      <c r="J1252" s="101"/>
    </row>
    <row r="1253" spans="3:10" ht="16.5">
      <c r="C1253" s="101"/>
      <c r="D1253" s="101"/>
      <c r="E1253" s="101"/>
      <c r="F1253" s="101"/>
      <c r="G1253" s="101"/>
      <c r="H1253" s="101"/>
      <c r="I1253" s="101"/>
      <c r="J1253" s="101"/>
    </row>
    <row r="1254" spans="3:10" ht="16.5">
      <c r="C1254" s="101"/>
      <c r="D1254" s="101"/>
      <c r="E1254" s="101"/>
      <c r="F1254" s="101"/>
      <c r="G1254" s="101"/>
      <c r="H1254" s="101"/>
      <c r="I1254" s="101"/>
      <c r="J1254" s="101"/>
    </row>
    <row r="1255" spans="3:10" ht="16.5">
      <c r="C1255" s="101"/>
      <c r="D1255" s="101"/>
      <c r="E1255" s="101"/>
      <c r="F1255" s="101"/>
      <c r="G1255" s="101"/>
      <c r="H1255" s="101"/>
      <c r="I1255" s="101"/>
      <c r="J1255" s="101"/>
    </row>
    <row r="1256" spans="3:10" ht="16.5">
      <c r="C1256" s="101"/>
      <c r="D1256" s="101"/>
      <c r="E1256" s="101"/>
      <c r="F1256" s="101"/>
      <c r="G1256" s="101"/>
      <c r="H1256" s="101"/>
      <c r="I1256" s="101"/>
      <c r="J1256" s="101"/>
    </row>
    <row r="1257" spans="3:10" ht="16.5">
      <c r="C1257" s="101"/>
      <c r="D1257" s="101"/>
      <c r="E1257" s="101"/>
      <c r="F1257" s="101"/>
      <c r="G1257" s="101"/>
      <c r="H1257" s="101"/>
      <c r="I1257" s="101"/>
      <c r="J1257" s="101"/>
    </row>
    <row r="1258" spans="3:10" ht="16.5">
      <c r="C1258" s="101"/>
      <c r="D1258" s="101"/>
      <c r="E1258" s="101"/>
      <c r="F1258" s="101"/>
      <c r="G1258" s="101"/>
      <c r="H1258" s="101"/>
      <c r="I1258" s="101"/>
      <c r="J1258" s="101"/>
    </row>
    <row r="1259" spans="3:10" ht="16.5">
      <c r="C1259" s="101"/>
      <c r="D1259" s="101"/>
      <c r="E1259" s="101"/>
      <c r="F1259" s="101"/>
      <c r="G1259" s="101"/>
      <c r="H1259" s="101"/>
      <c r="I1259" s="101"/>
      <c r="J1259" s="101"/>
    </row>
    <row r="1260" spans="3:10" ht="16.5">
      <c r="C1260" s="101"/>
      <c r="D1260" s="101"/>
      <c r="E1260" s="101"/>
      <c r="F1260" s="101"/>
      <c r="G1260" s="101"/>
      <c r="H1260" s="101"/>
      <c r="I1260" s="101"/>
      <c r="J1260" s="101"/>
    </row>
    <row r="1261" spans="3:10" ht="16.5">
      <c r="C1261" s="101"/>
      <c r="D1261" s="101"/>
      <c r="E1261" s="101"/>
      <c r="F1261" s="101"/>
      <c r="G1261" s="101"/>
      <c r="H1261" s="101"/>
      <c r="I1261" s="101"/>
      <c r="J1261" s="101"/>
    </row>
    <row r="1262" spans="3:10" ht="16.5">
      <c r="C1262" s="101"/>
      <c r="D1262" s="101"/>
      <c r="E1262" s="101"/>
      <c r="F1262" s="101"/>
      <c r="G1262" s="101"/>
      <c r="H1262" s="101"/>
      <c r="I1262" s="101"/>
      <c r="J1262" s="101"/>
    </row>
    <row r="1263" spans="3:10" ht="16.5">
      <c r="C1263" s="101"/>
      <c r="D1263" s="101"/>
      <c r="E1263" s="101"/>
      <c r="F1263" s="101"/>
      <c r="G1263" s="101"/>
      <c r="H1263" s="101"/>
      <c r="I1263" s="101"/>
      <c r="J1263" s="101"/>
    </row>
    <row r="1264" spans="3:10" ht="16.5">
      <c r="C1264" s="101"/>
      <c r="D1264" s="101"/>
      <c r="E1264" s="101"/>
      <c r="F1264" s="101"/>
      <c r="G1264" s="101"/>
      <c r="H1264" s="101"/>
      <c r="I1264" s="101"/>
      <c r="J1264" s="101"/>
    </row>
    <row r="1265" spans="3:10" ht="16.5">
      <c r="C1265" s="101"/>
      <c r="D1265" s="101"/>
      <c r="E1265" s="101"/>
      <c r="F1265" s="101"/>
      <c r="G1265" s="101"/>
      <c r="H1265" s="101"/>
      <c r="I1265" s="101"/>
      <c r="J1265" s="101"/>
    </row>
    <row r="1266" spans="3:10" ht="16.5">
      <c r="C1266" s="101"/>
      <c r="D1266" s="101"/>
      <c r="E1266" s="101"/>
      <c r="F1266" s="101"/>
      <c r="G1266" s="101"/>
      <c r="H1266" s="101"/>
      <c r="I1266" s="101"/>
      <c r="J1266" s="101"/>
    </row>
    <row r="1267" spans="3:10" ht="16.5">
      <c r="C1267" s="101"/>
      <c r="D1267" s="101"/>
      <c r="E1267" s="101"/>
      <c r="F1267" s="101"/>
      <c r="G1267" s="101"/>
      <c r="H1267" s="101"/>
      <c r="I1267" s="101"/>
      <c r="J1267" s="101"/>
    </row>
    <row r="1268" spans="3:10" ht="16.5">
      <c r="C1268" s="101"/>
      <c r="D1268" s="101"/>
      <c r="E1268" s="101"/>
      <c r="F1268" s="101"/>
      <c r="G1268" s="101"/>
      <c r="H1268" s="101"/>
      <c r="I1268" s="101"/>
      <c r="J1268" s="101"/>
    </row>
    <row r="1269" spans="3:10" ht="16.5">
      <c r="C1269" s="101"/>
      <c r="D1269" s="101"/>
      <c r="E1269" s="101"/>
      <c r="F1269" s="101"/>
      <c r="G1269" s="101"/>
      <c r="H1269" s="101"/>
      <c r="I1269" s="101"/>
      <c r="J1269" s="101"/>
    </row>
    <row r="1270" spans="3:10" ht="16.5">
      <c r="C1270" s="101"/>
      <c r="D1270" s="101"/>
      <c r="E1270" s="101"/>
      <c r="F1270" s="101"/>
      <c r="G1270" s="101"/>
      <c r="H1270" s="101"/>
      <c r="I1270" s="101"/>
      <c r="J1270" s="101"/>
    </row>
    <row r="1271" spans="3:10" ht="16.5">
      <c r="C1271" s="101"/>
      <c r="D1271" s="101"/>
      <c r="E1271" s="101"/>
      <c r="F1271" s="101"/>
      <c r="G1271" s="101"/>
      <c r="H1271" s="101"/>
      <c r="I1271" s="101"/>
      <c r="J1271" s="101"/>
    </row>
    <row r="1272" spans="3:10" ht="16.5">
      <c r="C1272" s="101"/>
      <c r="D1272" s="101"/>
      <c r="E1272" s="101"/>
      <c r="F1272" s="101"/>
      <c r="G1272" s="101"/>
      <c r="H1272" s="101"/>
      <c r="I1272" s="101"/>
      <c r="J1272" s="101"/>
    </row>
    <row r="1273" spans="3:10" ht="16.5">
      <c r="C1273" s="101"/>
      <c r="D1273" s="101"/>
      <c r="E1273" s="101"/>
      <c r="F1273" s="101"/>
      <c r="G1273" s="101"/>
      <c r="H1273" s="101"/>
      <c r="I1273" s="101"/>
      <c r="J1273" s="101"/>
    </row>
    <row r="1274" spans="3:10" ht="16.5">
      <c r="C1274" s="101"/>
      <c r="D1274" s="101"/>
      <c r="E1274" s="101"/>
      <c r="F1274" s="101"/>
      <c r="G1274" s="101"/>
      <c r="H1274" s="101"/>
      <c r="I1274" s="101"/>
      <c r="J1274" s="101"/>
    </row>
    <row r="1275" spans="3:10" ht="16.5">
      <c r="C1275" s="101"/>
      <c r="D1275" s="101"/>
      <c r="E1275" s="101"/>
      <c r="F1275" s="101"/>
      <c r="G1275" s="101"/>
      <c r="H1275" s="101"/>
      <c r="I1275" s="101"/>
      <c r="J1275" s="101"/>
    </row>
    <row r="1276" spans="3:10" ht="16.5">
      <c r="C1276" s="101"/>
      <c r="D1276" s="101"/>
      <c r="E1276" s="101"/>
      <c r="F1276" s="101"/>
      <c r="G1276" s="101"/>
      <c r="H1276" s="101"/>
      <c r="I1276" s="101"/>
      <c r="J1276" s="101"/>
    </row>
    <row r="1277" spans="3:10" ht="16.5">
      <c r="C1277" s="101"/>
      <c r="D1277" s="101"/>
      <c r="E1277" s="101"/>
      <c r="F1277" s="101"/>
      <c r="G1277" s="101"/>
      <c r="H1277" s="101"/>
      <c r="I1277" s="101"/>
      <c r="J1277" s="101"/>
    </row>
    <row r="1278" spans="3:10" ht="16.5">
      <c r="C1278" s="101"/>
      <c r="D1278" s="101"/>
      <c r="E1278" s="101"/>
      <c r="F1278" s="101"/>
      <c r="G1278" s="101"/>
      <c r="H1278" s="101"/>
      <c r="I1278" s="101"/>
      <c r="J1278" s="101"/>
    </row>
    <row r="1279" spans="3:10" ht="16.5">
      <c r="C1279" s="101"/>
      <c r="D1279" s="101"/>
      <c r="E1279" s="101"/>
      <c r="F1279" s="101"/>
      <c r="G1279" s="101"/>
      <c r="H1279" s="101"/>
      <c r="I1279" s="101"/>
      <c r="J1279" s="101"/>
    </row>
    <row r="1280" spans="3:10" ht="16.5">
      <c r="C1280" s="101"/>
      <c r="D1280" s="101"/>
      <c r="E1280" s="101"/>
      <c r="F1280" s="101"/>
      <c r="G1280" s="101"/>
      <c r="H1280" s="101"/>
      <c r="I1280" s="101"/>
      <c r="J1280" s="101"/>
    </row>
    <row r="1281" spans="3:10" ht="16.5">
      <c r="C1281" s="101"/>
      <c r="D1281" s="101"/>
      <c r="E1281" s="101"/>
      <c r="F1281" s="101"/>
      <c r="G1281" s="101"/>
      <c r="H1281" s="101"/>
      <c r="I1281" s="101"/>
      <c r="J1281" s="101"/>
    </row>
    <row r="1282" spans="3:10" ht="16.5">
      <c r="C1282" s="101"/>
      <c r="D1282" s="101"/>
      <c r="E1282" s="101"/>
      <c r="F1282" s="101"/>
      <c r="G1282" s="101"/>
      <c r="H1282" s="101"/>
      <c r="I1282" s="101"/>
      <c r="J1282" s="101"/>
    </row>
    <row r="1283" spans="3:10" ht="16.5">
      <c r="C1283" s="101"/>
      <c r="D1283" s="101"/>
      <c r="E1283" s="101"/>
      <c r="F1283" s="101"/>
      <c r="G1283" s="101"/>
      <c r="H1283" s="101"/>
      <c r="I1283" s="101"/>
      <c r="J1283" s="101"/>
    </row>
    <row r="1284" spans="3:10" ht="16.5">
      <c r="C1284" s="101"/>
      <c r="D1284" s="101"/>
      <c r="E1284" s="101"/>
      <c r="F1284" s="101"/>
      <c r="G1284" s="101"/>
      <c r="H1284" s="101"/>
      <c r="I1284" s="101"/>
      <c r="J1284" s="101"/>
    </row>
    <row r="1285" spans="3:10" ht="16.5">
      <c r="C1285" s="101"/>
      <c r="D1285" s="101"/>
      <c r="E1285" s="101"/>
      <c r="F1285" s="101"/>
      <c r="G1285" s="101"/>
      <c r="H1285" s="101"/>
      <c r="I1285" s="101"/>
      <c r="J1285" s="101"/>
    </row>
    <row r="1286" spans="3:10" ht="16.5">
      <c r="C1286" s="101"/>
      <c r="D1286" s="101"/>
      <c r="E1286" s="101"/>
      <c r="F1286" s="101"/>
      <c r="G1286" s="101"/>
      <c r="H1286" s="101"/>
      <c r="I1286" s="101"/>
      <c r="J1286" s="101"/>
    </row>
    <row r="1287" spans="3:10" ht="16.5">
      <c r="C1287" s="101"/>
      <c r="D1287" s="101"/>
      <c r="E1287" s="101"/>
      <c r="F1287" s="101"/>
      <c r="G1287" s="101"/>
      <c r="H1287" s="101"/>
      <c r="I1287" s="101"/>
      <c r="J1287" s="101"/>
    </row>
    <row r="1288" spans="3:10" ht="16.5">
      <c r="C1288" s="101"/>
      <c r="D1288" s="101"/>
      <c r="E1288" s="101"/>
      <c r="F1288" s="101"/>
      <c r="G1288" s="101"/>
      <c r="H1288" s="101"/>
      <c r="I1288" s="101"/>
      <c r="J1288" s="101"/>
    </row>
    <row r="1289" spans="3:10" ht="16.5">
      <c r="C1289" s="101"/>
      <c r="D1289" s="101"/>
      <c r="E1289" s="101"/>
      <c r="F1289" s="101"/>
      <c r="G1289" s="101"/>
      <c r="H1289" s="101"/>
      <c r="I1289" s="101"/>
      <c r="J1289" s="101"/>
    </row>
    <row r="1290" spans="3:10" ht="16.5">
      <c r="C1290" s="101"/>
      <c r="D1290" s="101"/>
      <c r="E1290" s="101"/>
      <c r="F1290" s="101"/>
      <c r="G1290" s="101"/>
      <c r="H1290" s="101"/>
      <c r="I1290" s="101"/>
      <c r="J1290" s="101"/>
    </row>
    <row r="1291" spans="3:10" ht="16.5">
      <c r="C1291" s="101"/>
      <c r="D1291" s="101"/>
      <c r="E1291" s="101"/>
      <c r="F1291" s="101"/>
      <c r="G1291" s="101"/>
      <c r="H1291" s="101"/>
      <c r="I1291" s="101"/>
      <c r="J1291" s="101"/>
    </row>
    <row r="1292" spans="3:10" ht="16.5">
      <c r="C1292" s="101"/>
      <c r="D1292" s="101"/>
      <c r="E1292" s="101"/>
      <c r="F1292" s="101"/>
      <c r="G1292" s="101"/>
      <c r="H1292" s="101"/>
      <c r="I1292" s="101"/>
      <c r="J1292" s="101"/>
    </row>
    <row r="1293" spans="3:10" ht="16.5">
      <c r="C1293" s="101"/>
      <c r="D1293" s="101"/>
      <c r="E1293" s="101"/>
      <c r="F1293" s="101"/>
      <c r="G1293" s="101"/>
      <c r="H1293" s="101"/>
      <c r="I1293" s="101"/>
      <c r="J1293" s="101"/>
    </row>
    <row r="1294" spans="3:10" ht="16.5">
      <c r="C1294" s="101"/>
      <c r="D1294" s="101"/>
      <c r="E1294" s="101"/>
      <c r="F1294" s="101"/>
      <c r="G1294" s="101"/>
      <c r="H1294" s="101"/>
      <c r="I1294" s="101"/>
      <c r="J1294" s="101"/>
    </row>
    <row r="1295" spans="3:10" ht="16.5">
      <c r="C1295" s="101"/>
      <c r="D1295" s="101"/>
      <c r="E1295" s="101"/>
      <c r="F1295" s="101"/>
      <c r="G1295" s="101"/>
      <c r="H1295" s="101"/>
      <c r="I1295" s="101"/>
      <c r="J1295" s="101"/>
    </row>
    <row r="1296" spans="3:10" ht="16.5">
      <c r="C1296" s="101"/>
      <c r="D1296" s="101"/>
      <c r="E1296" s="101"/>
      <c r="F1296" s="101"/>
      <c r="G1296" s="101"/>
      <c r="H1296" s="101"/>
      <c r="I1296" s="101"/>
      <c r="J1296" s="101"/>
    </row>
    <row r="1297" spans="3:10" ht="16.5">
      <c r="C1297" s="101"/>
      <c r="D1297" s="101"/>
      <c r="E1297" s="101"/>
      <c r="F1297" s="101"/>
      <c r="G1297" s="101"/>
      <c r="H1297" s="101"/>
      <c r="I1297" s="101"/>
      <c r="J1297" s="101"/>
    </row>
    <row r="1298" spans="3:10" ht="16.5">
      <c r="C1298" s="101"/>
      <c r="D1298" s="101"/>
      <c r="E1298" s="101"/>
      <c r="F1298" s="101"/>
      <c r="G1298" s="101"/>
      <c r="H1298" s="101"/>
      <c r="I1298" s="101"/>
      <c r="J1298" s="101"/>
    </row>
    <row r="1299" spans="3:10" ht="16.5">
      <c r="C1299" s="101"/>
      <c r="D1299" s="101"/>
      <c r="E1299" s="101"/>
      <c r="F1299" s="101"/>
      <c r="G1299" s="101"/>
      <c r="H1299" s="101"/>
      <c r="I1299" s="101"/>
      <c r="J1299" s="101"/>
    </row>
    <row r="1300" spans="3:10" ht="16.5">
      <c r="C1300" s="101"/>
      <c r="D1300" s="101"/>
      <c r="E1300" s="101"/>
      <c r="F1300" s="101"/>
      <c r="G1300" s="101"/>
      <c r="H1300" s="101"/>
      <c r="I1300" s="101"/>
      <c r="J1300" s="101"/>
    </row>
    <row r="1301" spans="3:10" ht="16.5">
      <c r="C1301" s="101"/>
      <c r="D1301" s="101"/>
      <c r="E1301" s="101"/>
      <c r="F1301" s="101"/>
      <c r="G1301" s="101"/>
      <c r="H1301" s="101"/>
      <c r="I1301" s="101"/>
      <c r="J1301" s="101"/>
    </row>
    <row r="1302" spans="3:10" ht="16.5">
      <c r="C1302" s="101"/>
      <c r="D1302" s="101"/>
      <c r="E1302" s="101"/>
      <c r="F1302" s="101"/>
      <c r="G1302" s="101"/>
      <c r="H1302" s="101"/>
      <c r="I1302" s="101"/>
      <c r="J1302" s="101"/>
    </row>
    <row r="1303" spans="3:10" ht="16.5">
      <c r="C1303" s="101"/>
      <c r="D1303" s="101"/>
      <c r="E1303" s="101"/>
      <c r="F1303" s="101"/>
      <c r="G1303" s="101"/>
      <c r="H1303" s="101"/>
      <c r="I1303" s="101"/>
      <c r="J1303" s="101"/>
    </row>
    <row r="1304" spans="3:10" ht="16.5">
      <c r="C1304" s="101"/>
      <c r="D1304" s="101"/>
      <c r="E1304" s="101"/>
      <c r="F1304" s="101"/>
      <c r="G1304" s="101"/>
      <c r="H1304" s="101"/>
      <c r="I1304" s="101"/>
      <c r="J1304" s="101"/>
    </row>
    <row r="1305" spans="3:10" ht="16.5">
      <c r="C1305" s="101"/>
      <c r="D1305" s="101"/>
      <c r="E1305" s="101"/>
      <c r="F1305" s="101"/>
      <c r="G1305" s="101"/>
      <c r="H1305" s="101"/>
      <c r="I1305" s="101"/>
      <c r="J1305" s="101"/>
    </row>
    <row r="1306" spans="3:10" ht="16.5">
      <c r="C1306" s="101"/>
      <c r="D1306" s="101"/>
      <c r="E1306" s="101"/>
      <c r="F1306" s="101"/>
      <c r="G1306" s="101"/>
      <c r="H1306" s="101"/>
      <c r="I1306" s="101"/>
      <c r="J1306" s="101"/>
    </row>
    <row r="1307" spans="3:10" ht="16.5">
      <c r="C1307" s="101"/>
      <c r="D1307" s="101"/>
      <c r="E1307" s="101"/>
      <c r="F1307" s="101"/>
      <c r="G1307" s="101"/>
      <c r="H1307" s="101"/>
      <c r="I1307" s="101"/>
      <c r="J1307" s="101"/>
    </row>
    <row r="1308" spans="3:10" ht="16.5">
      <c r="C1308" s="101"/>
      <c r="D1308" s="101"/>
      <c r="E1308" s="101"/>
      <c r="F1308" s="101"/>
      <c r="G1308" s="101"/>
      <c r="H1308" s="101"/>
      <c r="I1308" s="101"/>
      <c r="J1308" s="101"/>
    </row>
    <row r="1309" spans="3:10" ht="16.5">
      <c r="C1309" s="101"/>
      <c r="D1309" s="101"/>
      <c r="E1309" s="101"/>
      <c r="F1309" s="101"/>
      <c r="G1309" s="101"/>
      <c r="H1309" s="101"/>
      <c r="I1309" s="101"/>
      <c r="J1309" s="101"/>
    </row>
    <row r="1310" spans="3:10" ht="16.5">
      <c r="C1310" s="101"/>
      <c r="D1310" s="101"/>
      <c r="E1310" s="101"/>
      <c r="F1310" s="101"/>
      <c r="G1310" s="101"/>
      <c r="H1310" s="101"/>
      <c r="I1310" s="101"/>
      <c r="J1310" s="101"/>
    </row>
    <row r="1311" spans="3:10" ht="16.5">
      <c r="C1311" s="101"/>
      <c r="D1311" s="101"/>
      <c r="E1311" s="101"/>
      <c r="F1311" s="101"/>
      <c r="G1311" s="101"/>
      <c r="H1311" s="101"/>
      <c r="I1311" s="101"/>
      <c r="J1311" s="101"/>
    </row>
    <row r="1312" spans="3:10" ht="16.5">
      <c r="C1312" s="101"/>
      <c r="D1312" s="101"/>
      <c r="E1312" s="101"/>
      <c r="F1312" s="101"/>
      <c r="G1312" s="101"/>
      <c r="H1312" s="101"/>
      <c r="I1312" s="101"/>
      <c r="J1312" s="101"/>
    </row>
    <row r="1313" spans="3:10" ht="16.5">
      <c r="C1313" s="101"/>
      <c r="D1313" s="101"/>
      <c r="E1313" s="101"/>
      <c r="F1313" s="101"/>
      <c r="G1313" s="101"/>
      <c r="H1313" s="101"/>
      <c r="I1313" s="101"/>
      <c r="J1313" s="101"/>
    </row>
    <row r="1314" spans="3:10" ht="16.5">
      <c r="C1314" s="101"/>
      <c r="D1314" s="101"/>
      <c r="E1314" s="101"/>
      <c r="F1314" s="101"/>
      <c r="G1314" s="101"/>
      <c r="H1314" s="101"/>
      <c r="I1314" s="101"/>
      <c r="J1314" s="101"/>
    </row>
    <row r="1315" spans="3:10" ht="16.5">
      <c r="C1315" s="101"/>
      <c r="D1315" s="101"/>
      <c r="E1315" s="101"/>
      <c r="F1315" s="101"/>
      <c r="G1315" s="101"/>
      <c r="H1315" s="101"/>
      <c r="I1315" s="101"/>
      <c r="J1315" s="101"/>
    </row>
    <row r="1316" spans="3:10" ht="16.5">
      <c r="C1316" s="101"/>
      <c r="D1316" s="101"/>
      <c r="E1316" s="101"/>
      <c r="F1316" s="101"/>
      <c r="G1316" s="101"/>
      <c r="H1316" s="101"/>
      <c r="I1316" s="101"/>
      <c r="J1316" s="101"/>
    </row>
    <row r="1317" spans="3:10" ht="16.5">
      <c r="C1317" s="101"/>
      <c r="D1317" s="101"/>
      <c r="E1317" s="101"/>
      <c r="F1317" s="101"/>
      <c r="G1317" s="101"/>
      <c r="H1317" s="101"/>
      <c r="I1317" s="101"/>
      <c r="J1317" s="101"/>
    </row>
    <row r="1318" spans="3:10" ht="16.5">
      <c r="C1318" s="101"/>
      <c r="D1318" s="101"/>
      <c r="E1318" s="101"/>
      <c r="F1318" s="101"/>
      <c r="G1318" s="101"/>
      <c r="H1318" s="101"/>
      <c r="I1318" s="101"/>
      <c r="J1318" s="101"/>
    </row>
    <row r="1319" spans="3:10" ht="16.5">
      <c r="C1319" s="101"/>
      <c r="D1319" s="101"/>
      <c r="E1319" s="101"/>
      <c r="F1319" s="101"/>
      <c r="G1319" s="101"/>
      <c r="H1319" s="101"/>
      <c r="I1319" s="101"/>
      <c r="J1319" s="101"/>
    </row>
    <row r="1320" spans="3:10" ht="16.5">
      <c r="C1320" s="101"/>
      <c r="D1320" s="101"/>
      <c r="E1320" s="101"/>
      <c r="F1320" s="101"/>
      <c r="G1320" s="101"/>
      <c r="H1320" s="101"/>
      <c r="I1320" s="101"/>
      <c r="J1320" s="101"/>
    </row>
    <row r="1321" spans="3:10" ht="16.5">
      <c r="C1321" s="101"/>
      <c r="D1321" s="101"/>
      <c r="E1321" s="101"/>
      <c r="F1321" s="101"/>
      <c r="G1321" s="101"/>
      <c r="H1321" s="101"/>
      <c r="I1321" s="101"/>
      <c r="J1321" s="101"/>
    </row>
    <row r="1322" spans="3:10" ht="16.5">
      <c r="C1322" s="101"/>
      <c r="D1322" s="101"/>
      <c r="E1322" s="101"/>
      <c r="F1322" s="101"/>
      <c r="G1322" s="101"/>
      <c r="H1322" s="101"/>
      <c r="I1322" s="101"/>
      <c r="J1322" s="101"/>
    </row>
    <row r="1323" spans="3:10" ht="16.5">
      <c r="C1323" s="101"/>
      <c r="D1323" s="101"/>
      <c r="E1323" s="101"/>
      <c r="F1323" s="101"/>
      <c r="G1323" s="101"/>
      <c r="H1323" s="101"/>
      <c r="I1323" s="101"/>
      <c r="J1323" s="101"/>
    </row>
    <row r="1324" spans="3:10" ht="16.5">
      <c r="C1324" s="101"/>
      <c r="D1324" s="101"/>
      <c r="E1324" s="101"/>
      <c r="F1324" s="101"/>
      <c r="G1324" s="101"/>
      <c r="H1324" s="101"/>
      <c r="I1324" s="101"/>
      <c r="J1324" s="101"/>
    </row>
    <row r="1325" spans="3:10" ht="16.5">
      <c r="C1325" s="101"/>
      <c r="D1325" s="101"/>
      <c r="E1325" s="101"/>
      <c r="F1325" s="101"/>
      <c r="G1325" s="101"/>
      <c r="H1325" s="101"/>
      <c r="I1325" s="101"/>
      <c r="J1325" s="101"/>
    </row>
    <row r="1326" spans="3:10" ht="16.5">
      <c r="C1326" s="101"/>
      <c r="D1326" s="101"/>
      <c r="E1326" s="101"/>
      <c r="F1326" s="101"/>
      <c r="G1326" s="101"/>
      <c r="H1326" s="101"/>
      <c r="I1326" s="101"/>
      <c r="J1326" s="101"/>
    </row>
    <row r="1327" spans="3:10" ht="16.5">
      <c r="C1327" s="101"/>
      <c r="D1327" s="101"/>
      <c r="E1327" s="101"/>
      <c r="F1327" s="101"/>
      <c r="G1327" s="101"/>
      <c r="H1327" s="101"/>
      <c r="I1327" s="101"/>
      <c r="J1327" s="101"/>
    </row>
    <row r="1328" spans="3:10" ht="16.5">
      <c r="C1328" s="101"/>
      <c r="D1328" s="101"/>
      <c r="E1328" s="101"/>
      <c r="F1328" s="101"/>
      <c r="G1328" s="101"/>
      <c r="H1328" s="101"/>
      <c r="I1328" s="101"/>
      <c r="J1328" s="101"/>
    </row>
    <row r="1329" spans="3:10" ht="16.5">
      <c r="C1329" s="101"/>
      <c r="D1329" s="101"/>
      <c r="E1329" s="101"/>
      <c r="F1329" s="101"/>
      <c r="G1329" s="101"/>
      <c r="H1329" s="101"/>
      <c r="I1329" s="101"/>
      <c r="J1329" s="101"/>
    </row>
    <row r="1330" spans="3:10" ht="16.5">
      <c r="C1330" s="101"/>
      <c r="D1330" s="101"/>
      <c r="E1330" s="101"/>
      <c r="F1330" s="101"/>
      <c r="G1330" s="101"/>
      <c r="H1330" s="101"/>
      <c r="I1330" s="101"/>
      <c r="J1330" s="101"/>
    </row>
    <row r="1331" spans="3:10" ht="16.5">
      <c r="C1331" s="101"/>
      <c r="D1331" s="101"/>
      <c r="E1331" s="101"/>
      <c r="F1331" s="101"/>
      <c r="G1331" s="101"/>
      <c r="H1331" s="101"/>
      <c r="I1331" s="101"/>
      <c r="J1331" s="101"/>
    </row>
    <row r="1332" spans="3:10" ht="16.5">
      <c r="C1332" s="101"/>
      <c r="D1332" s="101"/>
      <c r="E1332" s="101"/>
      <c r="F1332" s="101"/>
      <c r="G1332" s="101"/>
      <c r="H1332" s="101"/>
      <c r="I1332" s="101"/>
      <c r="J1332" s="101"/>
    </row>
    <row r="1333" spans="3:10" ht="16.5">
      <c r="C1333" s="101"/>
      <c r="D1333" s="101"/>
      <c r="E1333" s="101"/>
      <c r="F1333" s="101"/>
      <c r="G1333" s="101"/>
      <c r="H1333" s="101"/>
      <c r="I1333" s="101"/>
      <c r="J1333" s="101"/>
    </row>
    <row r="1334" spans="3:10" ht="16.5">
      <c r="C1334" s="101"/>
      <c r="D1334" s="101"/>
      <c r="E1334" s="101"/>
      <c r="F1334" s="101"/>
      <c r="G1334" s="101"/>
      <c r="H1334" s="101"/>
      <c r="I1334" s="101"/>
      <c r="J1334" s="101"/>
    </row>
    <row r="1335" spans="3:10" ht="16.5">
      <c r="C1335" s="101"/>
      <c r="D1335" s="101"/>
      <c r="E1335" s="101"/>
      <c r="F1335" s="101"/>
      <c r="G1335" s="101"/>
      <c r="H1335" s="101"/>
      <c r="I1335" s="101"/>
      <c r="J1335" s="101"/>
    </row>
    <row r="1336" spans="3:10" ht="16.5">
      <c r="C1336" s="101"/>
      <c r="D1336" s="101"/>
      <c r="E1336" s="101"/>
      <c r="F1336" s="101"/>
      <c r="G1336" s="101"/>
      <c r="H1336" s="101"/>
      <c r="I1336" s="101"/>
      <c r="J1336" s="101"/>
    </row>
    <row r="1337" spans="3:10" ht="16.5">
      <c r="C1337" s="101"/>
      <c r="D1337" s="101"/>
      <c r="E1337" s="101"/>
      <c r="F1337" s="101"/>
      <c r="G1337" s="101"/>
      <c r="H1337" s="101"/>
      <c r="I1337" s="101"/>
      <c r="J1337" s="101"/>
    </row>
    <row r="1338" spans="3:10" ht="16.5">
      <c r="C1338" s="101"/>
      <c r="D1338" s="101"/>
      <c r="E1338" s="101"/>
      <c r="F1338" s="101"/>
      <c r="G1338" s="101"/>
      <c r="H1338" s="101"/>
      <c r="I1338" s="101"/>
      <c r="J1338" s="101"/>
    </row>
    <row r="1339" spans="3:10" ht="16.5">
      <c r="C1339" s="101"/>
      <c r="D1339" s="101"/>
      <c r="E1339" s="101"/>
      <c r="F1339" s="101"/>
      <c r="G1339" s="101"/>
      <c r="H1339" s="101"/>
      <c r="I1339" s="101"/>
      <c r="J1339" s="101"/>
    </row>
    <row r="1340" spans="3:10" ht="16.5">
      <c r="C1340" s="101"/>
      <c r="D1340" s="101"/>
      <c r="E1340" s="101"/>
      <c r="F1340" s="101"/>
      <c r="G1340" s="101"/>
      <c r="H1340" s="101"/>
      <c r="I1340" s="101"/>
      <c r="J1340" s="101"/>
    </row>
    <row r="1341" spans="3:10" ht="16.5">
      <c r="C1341" s="101"/>
      <c r="D1341" s="101"/>
      <c r="E1341" s="101"/>
      <c r="F1341" s="101"/>
      <c r="G1341" s="101"/>
      <c r="H1341" s="101"/>
      <c r="I1341" s="101"/>
      <c r="J1341" s="101"/>
    </row>
    <row r="1342" spans="3:10" ht="16.5">
      <c r="C1342" s="101"/>
      <c r="D1342" s="101"/>
      <c r="E1342" s="101"/>
      <c r="F1342" s="101"/>
      <c r="G1342" s="101"/>
      <c r="H1342" s="101"/>
      <c r="I1342" s="101"/>
      <c r="J1342" s="101"/>
    </row>
    <row r="1343" spans="3:10" ht="16.5">
      <c r="C1343" s="101"/>
      <c r="D1343" s="101"/>
      <c r="E1343" s="101"/>
      <c r="F1343" s="101"/>
      <c r="G1343" s="101"/>
      <c r="H1343" s="101"/>
      <c r="I1343" s="101"/>
      <c r="J1343" s="101"/>
    </row>
    <row r="1344" spans="3:10" ht="16.5">
      <c r="C1344" s="101"/>
      <c r="D1344" s="101"/>
      <c r="E1344" s="101"/>
      <c r="F1344" s="101"/>
      <c r="G1344" s="101"/>
      <c r="H1344" s="101"/>
      <c r="I1344" s="101"/>
      <c r="J1344" s="101"/>
    </row>
    <row r="1345" spans="3:10" ht="16.5">
      <c r="C1345" s="101"/>
      <c r="D1345" s="101"/>
      <c r="E1345" s="101"/>
      <c r="F1345" s="101"/>
      <c r="G1345" s="101"/>
      <c r="H1345" s="101"/>
      <c r="I1345" s="101"/>
      <c r="J1345" s="101"/>
    </row>
    <row r="1346" spans="3:10" ht="16.5">
      <c r="C1346" s="101"/>
      <c r="D1346" s="101"/>
      <c r="E1346" s="101"/>
      <c r="F1346" s="101"/>
      <c r="G1346" s="101"/>
      <c r="H1346" s="101"/>
      <c r="I1346" s="101"/>
      <c r="J1346" s="101"/>
    </row>
    <row r="1347" spans="3:10" ht="16.5">
      <c r="C1347" s="101"/>
      <c r="D1347" s="101"/>
      <c r="E1347" s="101"/>
      <c r="F1347" s="101"/>
      <c r="G1347" s="101"/>
      <c r="H1347" s="101"/>
      <c r="I1347" s="101"/>
      <c r="J1347" s="101"/>
    </row>
    <row r="1348" spans="3:10" ht="16.5">
      <c r="C1348" s="101"/>
      <c r="D1348" s="101"/>
      <c r="E1348" s="101"/>
      <c r="F1348" s="101"/>
      <c r="G1348" s="101"/>
      <c r="H1348" s="101"/>
      <c r="I1348" s="101"/>
      <c r="J1348" s="101"/>
    </row>
    <row r="1349" spans="3:10" ht="16.5">
      <c r="C1349" s="101"/>
      <c r="D1349" s="101"/>
      <c r="E1349" s="101"/>
      <c r="F1349" s="101"/>
      <c r="G1349" s="101"/>
      <c r="H1349" s="101"/>
      <c r="I1349" s="101"/>
      <c r="J1349" s="101"/>
    </row>
    <row r="1350" spans="3:10" ht="16.5">
      <c r="C1350" s="101"/>
      <c r="D1350" s="101"/>
      <c r="E1350" s="101"/>
      <c r="F1350" s="101"/>
      <c r="G1350" s="101"/>
      <c r="H1350" s="101"/>
      <c r="I1350" s="101"/>
      <c r="J1350" s="101"/>
    </row>
    <row r="1351" spans="3:10" ht="16.5">
      <c r="C1351" s="101"/>
      <c r="D1351" s="101"/>
      <c r="E1351" s="101"/>
      <c r="F1351" s="101"/>
      <c r="G1351" s="101"/>
      <c r="H1351" s="101"/>
      <c r="I1351" s="101"/>
      <c r="J1351" s="101"/>
    </row>
    <row r="1352" spans="3:10" ht="16.5">
      <c r="C1352" s="101"/>
      <c r="D1352" s="101"/>
      <c r="E1352" s="101"/>
      <c r="F1352" s="101"/>
      <c r="G1352" s="101"/>
      <c r="H1352" s="101"/>
      <c r="I1352" s="101"/>
      <c r="J1352" s="101"/>
    </row>
    <row r="1353" spans="3:10" ht="16.5">
      <c r="C1353" s="101"/>
      <c r="D1353" s="101"/>
      <c r="E1353" s="101"/>
      <c r="F1353" s="101"/>
      <c r="G1353" s="101"/>
      <c r="H1353" s="101"/>
      <c r="I1353" s="101"/>
      <c r="J1353" s="101"/>
    </row>
    <row r="1354" spans="3:10" ht="16.5">
      <c r="C1354" s="101"/>
      <c r="D1354" s="101"/>
      <c r="E1354" s="101"/>
      <c r="F1354" s="101"/>
      <c r="G1354" s="101"/>
      <c r="H1354" s="101"/>
      <c r="I1354" s="101"/>
      <c r="J1354" s="101"/>
    </row>
    <row r="1355" spans="3:10" ht="16.5">
      <c r="C1355" s="101"/>
      <c r="D1355" s="101"/>
      <c r="E1355" s="101"/>
      <c r="F1355" s="101"/>
      <c r="G1355" s="101"/>
      <c r="H1355" s="101"/>
      <c r="I1355" s="101"/>
      <c r="J1355" s="101"/>
    </row>
    <row r="1356" spans="3:10" ht="16.5">
      <c r="C1356" s="101"/>
      <c r="D1356" s="101"/>
      <c r="E1356" s="101"/>
      <c r="F1356" s="101"/>
      <c r="G1356" s="101"/>
      <c r="H1356" s="101"/>
      <c r="I1356" s="101"/>
      <c r="J1356" s="101"/>
    </row>
    <row r="1357" spans="3:10" ht="16.5">
      <c r="C1357" s="101"/>
      <c r="D1357" s="101"/>
      <c r="E1357" s="101"/>
      <c r="F1357" s="101"/>
      <c r="G1357" s="101"/>
      <c r="H1357" s="101"/>
      <c r="I1357" s="101"/>
      <c r="J1357" s="101"/>
    </row>
    <row r="1358" spans="3:10" ht="16.5">
      <c r="C1358" s="101"/>
      <c r="D1358" s="101"/>
      <c r="E1358" s="101"/>
      <c r="F1358" s="101"/>
      <c r="G1358" s="101"/>
      <c r="H1358" s="101"/>
      <c r="I1358" s="101"/>
      <c r="J1358" s="101"/>
    </row>
    <row r="1359" spans="3:10" ht="16.5">
      <c r="C1359" s="101"/>
      <c r="D1359" s="101"/>
      <c r="E1359" s="101"/>
      <c r="F1359" s="101"/>
      <c r="G1359" s="101"/>
      <c r="H1359" s="101"/>
      <c r="I1359" s="101"/>
      <c r="J1359" s="101"/>
    </row>
    <row r="1360" spans="3:10" ht="16.5">
      <c r="C1360" s="101"/>
      <c r="D1360" s="101"/>
      <c r="E1360" s="101"/>
      <c r="F1360" s="101"/>
      <c r="G1360" s="101"/>
      <c r="H1360" s="101"/>
      <c r="I1360" s="101"/>
      <c r="J1360" s="101"/>
    </row>
    <row r="1361" spans="3:10" ht="16.5">
      <c r="C1361" s="101"/>
      <c r="D1361" s="101"/>
      <c r="E1361" s="101"/>
      <c r="F1361" s="101"/>
      <c r="G1361" s="101"/>
      <c r="H1361" s="101"/>
      <c r="I1361" s="101"/>
      <c r="J1361" s="101"/>
    </row>
    <row r="1362" spans="3:10" ht="16.5">
      <c r="C1362" s="101"/>
      <c r="D1362" s="101"/>
      <c r="E1362" s="101"/>
      <c r="F1362" s="101"/>
      <c r="G1362" s="101"/>
      <c r="H1362" s="101"/>
      <c r="I1362" s="101"/>
      <c r="J1362" s="101"/>
    </row>
    <row r="1363" spans="3:10" ht="16.5">
      <c r="C1363" s="101"/>
      <c r="D1363" s="101"/>
      <c r="E1363" s="101"/>
      <c r="F1363" s="101"/>
      <c r="G1363" s="101"/>
      <c r="H1363" s="101"/>
      <c r="I1363" s="101"/>
      <c r="J1363" s="101"/>
    </row>
    <row r="1364" spans="3:10" ht="16.5">
      <c r="C1364" s="101"/>
      <c r="D1364" s="101"/>
      <c r="E1364" s="101"/>
      <c r="F1364" s="101"/>
      <c r="G1364" s="101"/>
      <c r="H1364" s="101"/>
      <c r="I1364" s="101"/>
      <c r="J1364" s="101"/>
    </row>
    <row r="1365" spans="3:10" ht="16.5">
      <c r="C1365" s="101"/>
      <c r="D1365" s="101"/>
      <c r="E1365" s="101"/>
      <c r="F1365" s="101"/>
      <c r="G1365" s="101"/>
      <c r="H1365" s="101"/>
      <c r="I1365" s="101"/>
      <c r="J1365" s="101"/>
    </row>
    <row r="1366" spans="3:10" ht="16.5">
      <c r="C1366" s="101"/>
      <c r="D1366" s="101"/>
      <c r="E1366" s="101"/>
      <c r="F1366" s="101"/>
      <c r="G1366" s="101"/>
      <c r="H1366" s="101"/>
      <c r="I1366" s="101"/>
      <c r="J1366" s="101"/>
    </row>
    <row r="1367" spans="3:10" ht="16.5">
      <c r="C1367" s="101"/>
      <c r="D1367" s="101"/>
      <c r="E1367" s="101"/>
      <c r="F1367" s="101"/>
      <c r="G1367" s="101"/>
      <c r="H1367" s="101"/>
      <c r="I1367" s="101"/>
      <c r="J1367" s="101"/>
    </row>
    <row r="1368" spans="3:10" ht="16.5">
      <c r="C1368" s="101"/>
      <c r="D1368" s="101"/>
      <c r="E1368" s="101"/>
      <c r="F1368" s="101"/>
      <c r="G1368" s="101"/>
      <c r="H1368" s="101"/>
      <c r="I1368" s="101"/>
      <c r="J1368" s="101"/>
    </row>
    <row r="1369" spans="3:10" ht="16.5">
      <c r="C1369" s="101"/>
      <c r="D1369" s="101"/>
      <c r="E1369" s="101"/>
      <c r="F1369" s="101"/>
      <c r="G1369" s="101"/>
      <c r="H1369" s="101"/>
      <c r="I1369" s="101"/>
      <c r="J1369" s="101"/>
    </row>
    <row r="1370" spans="3:10" ht="16.5">
      <c r="C1370" s="101"/>
      <c r="D1370" s="101"/>
      <c r="E1370" s="101"/>
      <c r="F1370" s="101"/>
      <c r="G1370" s="101"/>
      <c r="H1370" s="101"/>
      <c r="I1370" s="101"/>
      <c r="J1370" s="101"/>
    </row>
    <row r="1371" spans="3:10" ht="16.5">
      <c r="C1371" s="101"/>
      <c r="D1371" s="101"/>
      <c r="E1371" s="101"/>
      <c r="F1371" s="101"/>
      <c r="G1371" s="101"/>
      <c r="H1371" s="101"/>
      <c r="I1371" s="101"/>
      <c r="J1371" s="101"/>
    </row>
    <row r="1372" spans="3:10" ht="16.5">
      <c r="C1372" s="101"/>
      <c r="D1372" s="101"/>
      <c r="E1372" s="101"/>
      <c r="F1372" s="101"/>
      <c r="G1372" s="101"/>
      <c r="H1372" s="101"/>
      <c r="I1372" s="101"/>
      <c r="J1372" s="101"/>
    </row>
    <row r="1373" spans="3:10" ht="16.5">
      <c r="C1373" s="101"/>
      <c r="D1373" s="101"/>
      <c r="E1373" s="101"/>
      <c r="F1373" s="101"/>
      <c r="G1373" s="101"/>
      <c r="H1373" s="101"/>
      <c r="I1373" s="101"/>
      <c r="J1373" s="101"/>
    </row>
    <row r="1374" spans="3:10" ht="16.5">
      <c r="C1374" s="101"/>
      <c r="D1374" s="101"/>
      <c r="E1374" s="101"/>
      <c r="F1374" s="101"/>
      <c r="G1374" s="101"/>
      <c r="H1374" s="101"/>
      <c r="I1374" s="101"/>
      <c r="J1374" s="101"/>
    </row>
    <row r="1375" spans="3:10" ht="16.5">
      <c r="C1375" s="101"/>
      <c r="D1375" s="101"/>
      <c r="E1375" s="101"/>
      <c r="F1375" s="101"/>
      <c r="G1375" s="101"/>
      <c r="H1375" s="101"/>
      <c r="I1375" s="101"/>
      <c r="J1375" s="101"/>
    </row>
    <row r="1376" spans="3:10" ht="16.5">
      <c r="C1376" s="101"/>
      <c r="D1376" s="101"/>
      <c r="E1376" s="101"/>
      <c r="F1376" s="101"/>
      <c r="G1376" s="101"/>
      <c r="H1376" s="101"/>
      <c r="I1376" s="101"/>
      <c r="J1376" s="101"/>
    </row>
    <row r="1377" spans="3:10" ht="16.5">
      <c r="C1377" s="101"/>
      <c r="D1377" s="101"/>
      <c r="E1377" s="101"/>
      <c r="F1377" s="101"/>
      <c r="G1377" s="101"/>
      <c r="H1377" s="101"/>
      <c r="I1377" s="101"/>
      <c r="J1377" s="101"/>
    </row>
    <row r="1378" spans="3:10" ht="16.5">
      <c r="C1378" s="101"/>
      <c r="D1378" s="101"/>
      <c r="E1378" s="101"/>
      <c r="F1378" s="101"/>
      <c r="G1378" s="101"/>
      <c r="H1378" s="101"/>
      <c r="I1378" s="101"/>
      <c r="J1378" s="101"/>
    </row>
    <row r="1379" spans="3:10" ht="16.5">
      <c r="C1379" s="101"/>
      <c r="D1379" s="101"/>
      <c r="E1379" s="101"/>
      <c r="F1379" s="101"/>
      <c r="G1379" s="101"/>
      <c r="H1379" s="101"/>
      <c r="I1379" s="101"/>
      <c r="J1379" s="101"/>
    </row>
    <row r="1380" spans="3:10" ht="16.5">
      <c r="C1380" s="101"/>
      <c r="D1380" s="101"/>
      <c r="E1380" s="101"/>
      <c r="F1380" s="101"/>
      <c r="G1380" s="101"/>
      <c r="H1380" s="101"/>
      <c r="I1380" s="101"/>
      <c r="J1380" s="101"/>
    </row>
    <row r="1381" spans="3:10" ht="16.5">
      <c r="C1381" s="101"/>
      <c r="D1381" s="101"/>
      <c r="E1381" s="101"/>
      <c r="F1381" s="101"/>
      <c r="G1381" s="101"/>
      <c r="H1381" s="101"/>
      <c r="I1381" s="101"/>
      <c r="J1381" s="101"/>
    </row>
    <row r="1382" spans="3:10" ht="16.5">
      <c r="C1382" s="101"/>
      <c r="D1382" s="101"/>
      <c r="E1382" s="101"/>
      <c r="F1382" s="101"/>
      <c r="G1382" s="101"/>
      <c r="H1382" s="101"/>
      <c r="I1382" s="101"/>
      <c r="J1382" s="101"/>
    </row>
    <row r="1383" spans="3:10" ht="16.5">
      <c r="C1383" s="101"/>
      <c r="D1383" s="101"/>
      <c r="E1383" s="101"/>
      <c r="F1383" s="101"/>
      <c r="G1383" s="101"/>
      <c r="H1383" s="101"/>
      <c r="I1383" s="101"/>
      <c r="J1383" s="101"/>
    </row>
    <row r="1384" spans="3:10" ht="16.5">
      <c r="C1384" s="101"/>
      <c r="D1384" s="101"/>
      <c r="E1384" s="101"/>
      <c r="F1384" s="101"/>
      <c r="G1384" s="101"/>
      <c r="H1384" s="101"/>
      <c r="I1384" s="101"/>
      <c r="J1384" s="101"/>
    </row>
    <row r="1385" spans="3:10" ht="16.5">
      <c r="C1385" s="101"/>
      <c r="D1385" s="101"/>
      <c r="E1385" s="101"/>
      <c r="F1385" s="101"/>
      <c r="G1385" s="101"/>
      <c r="H1385" s="101"/>
      <c r="I1385" s="101"/>
      <c r="J1385" s="101"/>
    </row>
    <row r="1386" spans="3:10" ht="16.5">
      <c r="C1386" s="101"/>
      <c r="D1386" s="101"/>
      <c r="E1386" s="101"/>
      <c r="F1386" s="101"/>
      <c r="G1386" s="101"/>
      <c r="H1386" s="101"/>
      <c r="I1386" s="101"/>
      <c r="J1386" s="101"/>
    </row>
    <row r="1387" spans="3:10" ht="16.5">
      <c r="C1387" s="101"/>
      <c r="D1387" s="101"/>
      <c r="E1387" s="101"/>
      <c r="F1387" s="101"/>
      <c r="G1387" s="101"/>
      <c r="H1387" s="101"/>
      <c r="I1387" s="101"/>
      <c r="J1387" s="101"/>
    </row>
    <row r="1388" spans="3:10" ht="16.5">
      <c r="C1388" s="101"/>
      <c r="D1388" s="101"/>
      <c r="E1388" s="101"/>
      <c r="F1388" s="101"/>
      <c r="G1388" s="101"/>
      <c r="H1388" s="101"/>
      <c r="I1388" s="101"/>
      <c r="J1388" s="101"/>
    </row>
    <row r="1389" spans="3:10" ht="16.5">
      <c r="C1389" s="101"/>
      <c r="D1389" s="101"/>
      <c r="E1389" s="101"/>
      <c r="F1389" s="101"/>
      <c r="G1389" s="101"/>
      <c r="H1389" s="101"/>
      <c r="I1389" s="101"/>
      <c r="J1389" s="101"/>
    </row>
    <row r="1390" spans="3:10" ht="16.5">
      <c r="C1390" s="101"/>
      <c r="D1390" s="101"/>
      <c r="E1390" s="101"/>
      <c r="F1390" s="101"/>
      <c r="G1390" s="101"/>
      <c r="H1390" s="101"/>
      <c r="I1390" s="101"/>
      <c r="J1390" s="101"/>
    </row>
    <row r="1391" spans="3:10" ht="16.5">
      <c r="C1391" s="101"/>
      <c r="D1391" s="101"/>
      <c r="E1391" s="101"/>
      <c r="F1391" s="101"/>
      <c r="G1391" s="101"/>
      <c r="H1391" s="101"/>
      <c r="I1391" s="101"/>
      <c r="J1391" s="101"/>
    </row>
    <row r="1392" spans="3:10" ht="16.5">
      <c r="C1392" s="101"/>
      <c r="D1392" s="101"/>
      <c r="E1392" s="101"/>
      <c r="F1392" s="101"/>
      <c r="G1392" s="101"/>
      <c r="H1392" s="101"/>
      <c r="I1392" s="101"/>
      <c r="J1392" s="101"/>
    </row>
    <row r="1393" spans="3:10" ht="16.5">
      <c r="C1393" s="101"/>
      <c r="D1393" s="101"/>
      <c r="E1393" s="101"/>
      <c r="F1393" s="101"/>
      <c r="G1393" s="101"/>
      <c r="H1393" s="101"/>
      <c r="I1393" s="101"/>
      <c r="J1393" s="101"/>
    </row>
    <row r="1394" spans="3:10" ht="16.5">
      <c r="C1394" s="101"/>
      <c r="D1394" s="101"/>
      <c r="E1394" s="101"/>
      <c r="F1394" s="101"/>
      <c r="G1394" s="101"/>
      <c r="H1394" s="101"/>
      <c r="I1394" s="101"/>
      <c r="J1394" s="101"/>
    </row>
    <row r="1395" spans="3:10" ht="16.5">
      <c r="C1395" s="101"/>
      <c r="D1395" s="101"/>
      <c r="E1395" s="101"/>
      <c r="F1395" s="101"/>
      <c r="G1395" s="101"/>
      <c r="H1395" s="101"/>
      <c r="I1395" s="101"/>
      <c r="J1395" s="101"/>
    </row>
    <row r="1396" spans="3:10" ht="16.5">
      <c r="C1396" s="101"/>
      <c r="D1396" s="101"/>
      <c r="E1396" s="101"/>
      <c r="F1396" s="101"/>
      <c r="G1396" s="101"/>
      <c r="H1396" s="101"/>
      <c r="I1396" s="101"/>
      <c r="J1396" s="101"/>
    </row>
    <row r="1397" spans="3:10" ht="16.5">
      <c r="C1397" s="101"/>
      <c r="D1397" s="101"/>
      <c r="E1397" s="101"/>
      <c r="F1397" s="101"/>
      <c r="G1397" s="101"/>
      <c r="H1397" s="101"/>
      <c r="I1397" s="101"/>
      <c r="J1397" s="101"/>
    </row>
    <row r="1398" spans="3:10" ht="16.5">
      <c r="C1398" s="101"/>
      <c r="D1398" s="101"/>
      <c r="E1398" s="101"/>
      <c r="F1398" s="101"/>
      <c r="G1398" s="101"/>
      <c r="H1398" s="101"/>
      <c r="I1398" s="101"/>
      <c r="J1398" s="101"/>
    </row>
    <row r="1399" spans="3:10" ht="16.5">
      <c r="C1399" s="101"/>
      <c r="D1399" s="101"/>
      <c r="E1399" s="101"/>
      <c r="F1399" s="101"/>
      <c r="G1399" s="101"/>
      <c r="H1399" s="101"/>
      <c r="I1399" s="101"/>
      <c r="J1399" s="101"/>
    </row>
    <row r="1400" spans="3:10" ht="16.5">
      <c r="C1400" s="101"/>
      <c r="D1400" s="101"/>
      <c r="E1400" s="101"/>
      <c r="F1400" s="101"/>
      <c r="G1400" s="101"/>
      <c r="H1400" s="101"/>
      <c r="I1400" s="101"/>
      <c r="J1400" s="101"/>
    </row>
    <row r="1401" spans="3:10" ht="16.5">
      <c r="C1401" s="101"/>
      <c r="D1401" s="101"/>
      <c r="E1401" s="101"/>
      <c r="F1401" s="101"/>
      <c r="G1401" s="101"/>
      <c r="H1401" s="101"/>
      <c r="I1401" s="101"/>
      <c r="J1401" s="101"/>
    </row>
    <row r="1402" spans="3:10" ht="16.5">
      <c r="C1402" s="101"/>
      <c r="D1402" s="101"/>
      <c r="E1402" s="101"/>
      <c r="F1402" s="101"/>
      <c r="G1402" s="101"/>
      <c r="H1402" s="101"/>
      <c r="I1402" s="101"/>
      <c r="J1402" s="101"/>
    </row>
    <row r="1403" spans="3:10" ht="16.5">
      <c r="C1403" s="101"/>
      <c r="D1403" s="101"/>
      <c r="E1403" s="101"/>
      <c r="F1403" s="101"/>
      <c r="G1403" s="101"/>
      <c r="H1403" s="101"/>
      <c r="I1403" s="101"/>
      <c r="J1403" s="101"/>
    </row>
    <row r="1404" spans="3:10" ht="16.5">
      <c r="C1404" s="101"/>
      <c r="D1404" s="101"/>
      <c r="E1404" s="101"/>
      <c r="F1404" s="101"/>
      <c r="G1404" s="101"/>
      <c r="H1404" s="101"/>
      <c r="I1404" s="101"/>
      <c r="J1404" s="101"/>
    </row>
    <row r="1405" spans="3:10" ht="16.5">
      <c r="C1405" s="101"/>
      <c r="D1405" s="101"/>
      <c r="E1405" s="101"/>
      <c r="F1405" s="101"/>
      <c r="G1405" s="101"/>
      <c r="H1405" s="101"/>
      <c r="I1405" s="101"/>
      <c r="J1405" s="101"/>
    </row>
    <row r="1406" spans="3:10" ht="16.5">
      <c r="C1406" s="101"/>
      <c r="D1406" s="101"/>
      <c r="E1406" s="101"/>
      <c r="F1406" s="101"/>
      <c r="G1406" s="101"/>
      <c r="H1406" s="101"/>
      <c r="I1406" s="101"/>
      <c r="J1406" s="101"/>
    </row>
    <row r="1407" spans="3:10" ht="16.5">
      <c r="C1407" s="101"/>
      <c r="D1407" s="101"/>
      <c r="E1407" s="101"/>
      <c r="F1407" s="101"/>
      <c r="G1407" s="101"/>
      <c r="H1407" s="101"/>
      <c r="I1407" s="101"/>
      <c r="J1407" s="101"/>
    </row>
    <row r="1408" spans="3:10" ht="16.5">
      <c r="C1408" s="101"/>
      <c r="D1408" s="101"/>
      <c r="E1408" s="101"/>
      <c r="F1408" s="101"/>
      <c r="G1408" s="101"/>
      <c r="H1408" s="101"/>
      <c r="I1408" s="101"/>
      <c r="J1408" s="101"/>
    </row>
    <row r="1409" spans="3:10" ht="16.5">
      <c r="C1409" s="101"/>
      <c r="D1409" s="101"/>
      <c r="E1409" s="101"/>
      <c r="F1409" s="101"/>
      <c r="G1409" s="101"/>
      <c r="H1409" s="101"/>
      <c r="I1409" s="101"/>
      <c r="J1409" s="101"/>
    </row>
    <row r="1410" spans="3:10" ht="16.5">
      <c r="C1410" s="101"/>
      <c r="D1410" s="101"/>
      <c r="E1410" s="101"/>
      <c r="F1410" s="101"/>
      <c r="G1410" s="101"/>
      <c r="H1410" s="101"/>
      <c r="I1410" s="101"/>
      <c r="J1410" s="101"/>
    </row>
    <row r="1411" spans="3:10" ht="16.5">
      <c r="C1411" s="101"/>
      <c r="D1411" s="101"/>
      <c r="E1411" s="101"/>
      <c r="F1411" s="101"/>
      <c r="G1411" s="101"/>
      <c r="H1411" s="101"/>
      <c r="I1411" s="101"/>
      <c r="J1411" s="101"/>
    </row>
    <row r="1412" spans="3:10" ht="16.5">
      <c r="C1412" s="101"/>
      <c r="D1412" s="101"/>
      <c r="E1412" s="101"/>
      <c r="F1412" s="101"/>
      <c r="G1412" s="101"/>
      <c r="H1412" s="101"/>
      <c r="I1412" s="101"/>
      <c r="J1412" s="101"/>
    </row>
    <row r="1413" spans="3:10" ht="16.5">
      <c r="C1413" s="101"/>
      <c r="D1413" s="101"/>
      <c r="E1413" s="101"/>
      <c r="F1413" s="101"/>
      <c r="G1413" s="101"/>
      <c r="H1413" s="101"/>
      <c r="I1413" s="101"/>
      <c r="J1413" s="101"/>
    </row>
    <row r="1414" spans="3:10" ht="16.5">
      <c r="C1414" s="101"/>
      <c r="D1414" s="101"/>
      <c r="E1414" s="101"/>
      <c r="F1414" s="101"/>
      <c r="G1414" s="101"/>
      <c r="H1414" s="101"/>
      <c r="I1414" s="101"/>
      <c r="J1414" s="101"/>
    </row>
    <row r="1415" spans="3:10" ht="16.5">
      <c r="C1415" s="101"/>
      <c r="D1415" s="101"/>
      <c r="E1415" s="101"/>
      <c r="F1415" s="101"/>
      <c r="G1415" s="101"/>
      <c r="H1415" s="101"/>
      <c r="I1415" s="101"/>
      <c r="J1415" s="101"/>
    </row>
    <row r="1416" spans="3:10" ht="16.5">
      <c r="C1416" s="101"/>
      <c r="D1416" s="101"/>
      <c r="E1416" s="101"/>
      <c r="F1416" s="101"/>
      <c r="G1416" s="101"/>
      <c r="H1416" s="101"/>
      <c r="I1416" s="101"/>
      <c r="J1416" s="101"/>
    </row>
    <row r="1417" spans="3:10" ht="16.5">
      <c r="C1417" s="101"/>
      <c r="D1417" s="101"/>
      <c r="E1417" s="101"/>
      <c r="F1417" s="101"/>
      <c r="G1417" s="101"/>
      <c r="H1417" s="101"/>
      <c r="I1417" s="101"/>
      <c r="J1417" s="101"/>
    </row>
    <row r="1418" spans="3:10" ht="16.5">
      <c r="C1418" s="101"/>
      <c r="D1418" s="101"/>
      <c r="E1418" s="101"/>
      <c r="F1418" s="101"/>
      <c r="G1418" s="101"/>
      <c r="H1418" s="101"/>
      <c r="I1418" s="101"/>
      <c r="J1418" s="101"/>
    </row>
    <row r="1419" spans="3:10" ht="16.5">
      <c r="C1419" s="101"/>
      <c r="D1419" s="101"/>
      <c r="E1419" s="101"/>
      <c r="F1419" s="101"/>
      <c r="G1419" s="101"/>
      <c r="H1419" s="101"/>
      <c r="I1419" s="101"/>
      <c r="J1419" s="101"/>
    </row>
    <row r="1420" spans="3:10" ht="16.5">
      <c r="C1420" s="101"/>
      <c r="D1420" s="101"/>
      <c r="E1420" s="101"/>
      <c r="F1420" s="101"/>
      <c r="G1420" s="101"/>
      <c r="H1420" s="101"/>
      <c r="I1420" s="101"/>
      <c r="J1420" s="101"/>
    </row>
    <row r="1421" spans="3:10" ht="16.5">
      <c r="C1421" s="101"/>
      <c r="D1421" s="101"/>
      <c r="E1421" s="101"/>
      <c r="F1421" s="101"/>
      <c r="G1421" s="101"/>
      <c r="H1421" s="101"/>
      <c r="I1421" s="101"/>
      <c r="J1421" s="101"/>
    </row>
    <row r="1422" spans="3:10" ht="16.5">
      <c r="C1422" s="101"/>
      <c r="D1422" s="101"/>
      <c r="E1422" s="101"/>
      <c r="F1422" s="101"/>
      <c r="G1422" s="101"/>
      <c r="H1422" s="101"/>
      <c r="I1422" s="101"/>
      <c r="J1422" s="101"/>
    </row>
    <row r="1423" spans="3:10" ht="16.5">
      <c r="C1423" s="101"/>
      <c r="D1423" s="101"/>
      <c r="E1423" s="101"/>
      <c r="F1423" s="101"/>
      <c r="G1423" s="101"/>
      <c r="H1423" s="101"/>
      <c r="I1423" s="101"/>
      <c r="J1423" s="101"/>
    </row>
    <row r="1424" spans="3:10" ht="16.5">
      <c r="C1424" s="101"/>
      <c r="D1424" s="101"/>
      <c r="E1424" s="101"/>
      <c r="F1424" s="101"/>
      <c r="G1424" s="101"/>
      <c r="H1424" s="101"/>
      <c r="I1424" s="101"/>
      <c r="J1424" s="101"/>
    </row>
    <row r="1425" spans="3:10" ht="16.5">
      <c r="C1425" s="101"/>
      <c r="D1425" s="101"/>
      <c r="E1425" s="101"/>
      <c r="F1425" s="101"/>
      <c r="G1425" s="101"/>
      <c r="H1425" s="101"/>
      <c r="I1425" s="101"/>
      <c r="J1425" s="101"/>
    </row>
    <row r="1426" spans="3:10" ht="16.5">
      <c r="C1426" s="101"/>
      <c r="D1426" s="101"/>
      <c r="E1426" s="101"/>
      <c r="F1426" s="101"/>
      <c r="G1426" s="101"/>
      <c r="H1426" s="101"/>
      <c r="I1426" s="101"/>
      <c r="J1426" s="101"/>
    </row>
    <row r="1427" spans="3:10" ht="16.5">
      <c r="C1427" s="101"/>
      <c r="D1427" s="101"/>
      <c r="E1427" s="101"/>
      <c r="F1427" s="101"/>
      <c r="G1427" s="101"/>
      <c r="H1427" s="101"/>
      <c r="I1427" s="101"/>
      <c r="J1427" s="101"/>
    </row>
    <row r="1428" spans="3:10" ht="16.5">
      <c r="C1428" s="101"/>
      <c r="D1428" s="101"/>
      <c r="E1428" s="101"/>
      <c r="F1428" s="101"/>
      <c r="G1428" s="101"/>
      <c r="H1428" s="101"/>
      <c r="I1428" s="101"/>
      <c r="J1428" s="101"/>
    </row>
    <row r="1429" spans="3:10" ht="16.5">
      <c r="C1429" s="101"/>
      <c r="D1429" s="101"/>
      <c r="E1429" s="101"/>
      <c r="F1429" s="101"/>
      <c r="G1429" s="101"/>
      <c r="H1429" s="101"/>
      <c r="I1429" s="101"/>
      <c r="J1429" s="101"/>
    </row>
    <row r="1430" spans="3:10" ht="16.5">
      <c r="C1430" s="101"/>
      <c r="D1430" s="101"/>
      <c r="E1430" s="101"/>
      <c r="F1430" s="101"/>
      <c r="G1430" s="101"/>
      <c r="H1430" s="101"/>
      <c r="I1430" s="101"/>
      <c r="J1430" s="101"/>
    </row>
    <row r="1431" spans="3:10" ht="16.5">
      <c r="C1431" s="101"/>
      <c r="D1431" s="101"/>
      <c r="E1431" s="101"/>
      <c r="F1431" s="101"/>
      <c r="G1431" s="101"/>
      <c r="H1431" s="101"/>
      <c r="I1431" s="101"/>
      <c r="J1431" s="101"/>
    </row>
    <row r="1432" spans="3:10" ht="16.5">
      <c r="C1432" s="101"/>
      <c r="D1432" s="101"/>
      <c r="E1432" s="101"/>
      <c r="F1432" s="101"/>
      <c r="G1432" s="101"/>
      <c r="H1432" s="101"/>
      <c r="I1432" s="101"/>
      <c r="J1432" s="101"/>
    </row>
    <row r="1433" spans="3:10" ht="16.5">
      <c r="C1433" s="101"/>
      <c r="D1433" s="101"/>
      <c r="E1433" s="101"/>
      <c r="F1433" s="101"/>
      <c r="G1433" s="101"/>
      <c r="H1433" s="101"/>
      <c r="I1433" s="101"/>
      <c r="J1433" s="101"/>
    </row>
    <row r="1434" spans="3:10" ht="16.5">
      <c r="C1434" s="101"/>
      <c r="D1434" s="101"/>
      <c r="E1434" s="101"/>
      <c r="F1434" s="101"/>
      <c r="G1434" s="101"/>
      <c r="H1434" s="101"/>
      <c r="I1434" s="101"/>
      <c r="J1434" s="101"/>
    </row>
    <row r="1435" spans="3:10" ht="16.5">
      <c r="C1435" s="101"/>
      <c r="D1435" s="101"/>
      <c r="E1435" s="101"/>
      <c r="F1435" s="101"/>
      <c r="G1435" s="101"/>
      <c r="H1435" s="101"/>
      <c r="I1435" s="101"/>
      <c r="J1435" s="101"/>
    </row>
    <row r="1436" spans="3:10" ht="16.5">
      <c r="C1436" s="101"/>
      <c r="D1436" s="101"/>
      <c r="E1436" s="101"/>
      <c r="F1436" s="101"/>
      <c r="G1436" s="101"/>
      <c r="H1436" s="101"/>
      <c r="I1436" s="101"/>
      <c r="J1436" s="101"/>
    </row>
    <row r="1437" spans="3:10" ht="16.5">
      <c r="C1437" s="101"/>
      <c r="D1437" s="101"/>
      <c r="E1437" s="101"/>
      <c r="F1437" s="101"/>
      <c r="G1437" s="101"/>
      <c r="H1437" s="101"/>
      <c r="I1437" s="101"/>
      <c r="J1437" s="101"/>
    </row>
    <row r="1438" spans="3:10" ht="16.5">
      <c r="C1438" s="101"/>
      <c r="D1438" s="101"/>
      <c r="E1438" s="101"/>
      <c r="F1438" s="101"/>
      <c r="G1438" s="101"/>
      <c r="H1438" s="101"/>
      <c r="I1438" s="101"/>
      <c r="J1438" s="101"/>
    </row>
    <row r="1439" spans="3:10" ht="16.5">
      <c r="C1439" s="101"/>
      <c r="D1439" s="101"/>
      <c r="E1439" s="101"/>
      <c r="F1439" s="101"/>
      <c r="G1439" s="101"/>
      <c r="H1439" s="101"/>
      <c r="I1439" s="101"/>
      <c r="J1439" s="101"/>
    </row>
    <row r="1440" spans="3:10" ht="16.5">
      <c r="C1440" s="101"/>
      <c r="D1440" s="101"/>
      <c r="E1440" s="101"/>
      <c r="F1440" s="101"/>
      <c r="G1440" s="101"/>
      <c r="H1440" s="101"/>
      <c r="I1440" s="101"/>
      <c r="J1440" s="101"/>
    </row>
    <row r="1441" spans="3:10" ht="16.5">
      <c r="C1441" s="101"/>
      <c r="D1441" s="101"/>
      <c r="E1441" s="101"/>
      <c r="F1441" s="101"/>
      <c r="G1441" s="101"/>
      <c r="H1441" s="101"/>
      <c r="I1441" s="101"/>
      <c r="J1441" s="101"/>
    </row>
    <row r="1442" spans="3:10" ht="16.5">
      <c r="C1442" s="101"/>
      <c r="D1442" s="101"/>
      <c r="E1442" s="101"/>
      <c r="F1442" s="101"/>
      <c r="G1442" s="101"/>
      <c r="H1442" s="101"/>
      <c r="I1442" s="101"/>
      <c r="J1442" s="101"/>
    </row>
    <row r="1443" spans="3:10" ht="16.5">
      <c r="C1443" s="101"/>
      <c r="D1443" s="101"/>
      <c r="E1443" s="101"/>
      <c r="F1443" s="101"/>
      <c r="G1443" s="101"/>
      <c r="H1443" s="101"/>
      <c r="I1443" s="101"/>
      <c r="J1443" s="101"/>
    </row>
    <row r="1444" spans="3:10" ht="16.5">
      <c r="C1444" s="101"/>
      <c r="D1444" s="101"/>
      <c r="E1444" s="101"/>
      <c r="F1444" s="101"/>
      <c r="G1444" s="101"/>
      <c r="H1444" s="101"/>
      <c r="I1444" s="101"/>
      <c r="J1444" s="101"/>
    </row>
    <row r="1445" spans="3:10" ht="16.5">
      <c r="C1445" s="101"/>
      <c r="D1445" s="101"/>
      <c r="E1445" s="101"/>
      <c r="F1445" s="101"/>
      <c r="G1445" s="101"/>
      <c r="H1445" s="101"/>
      <c r="I1445" s="101"/>
      <c r="J1445" s="101"/>
    </row>
    <row r="1446" spans="3:10" ht="16.5">
      <c r="C1446" s="101"/>
      <c r="D1446" s="101"/>
      <c r="E1446" s="101"/>
      <c r="F1446" s="101"/>
      <c r="G1446" s="101"/>
      <c r="H1446" s="101"/>
      <c r="I1446" s="101"/>
      <c r="J1446" s="101"/>
    </row>
    <row r="1447" spans="3:10" ht="16.5">
      <c r="C1447" s="101"/>
      <c r="D1447" s="101"/>
      <c r="E1447" s="101"/>
      <c r="F1447" s="101"/>
      <c r="G1447" s="101"/>
      <c r="H1447" s="101"/>
      <c r="I1447" s="101"/>
      <c r="J1447" s="101"/>
    </row>
    <row r="1448" spans="3:10" ht="16.5">
      <c r="C1448" s="101"/>
      <c r="D1448" s="101"/>
      <c r="E1448" s="101"/>
      <c r="F1448" s="101"/>
      <c r="G1448" s="101"/>
      <c r="H1448" s="101"/>
      <c r="I1448" s="101"/>
      <c r="J1448" s="101"/>
    </row>
    <row r="1449" spans="3:10" ht="16.5">
      <c r="C1449" s="101"/>
      <c r="D1449" s="101"/>
      <c r="E1449" s="101"/>
      <c r="F1449" s="101"/>
      <c r="G1449" s="101"/>
      <c r="H1449" s="101"/>
      <c r="I1449" s="101"/>
      <c r="J1449" s="101"/>
    </row>
    <row r="1450" spans="3:10" ht="16.5">
      <c r="C1450" s="101"/>
      <c r="D1450" s="101"/>
      <c r="E1450" s="101"/>
      <c r="F1450" s="101"/>
      <c r="G1450" s="101"/>
      <c r="H1450" s="101"/>
      <c r="I1450" s="101"/>
      <c r="J1450" s="101"/>
    </row>
    <row r="1451" spans="3:10" ht="16.5">
      <c r="C1451" s="101"/>
      <c r="D1451" s="101"/>
      <c r="E1451" s="101"/>
      <c r="F1451" s="101"/>
      <c r="G1451" s="101"/>
      <c r="H1451" s="101"/>
      <c r="I1451" s="101"/>
      <c r="J1451" s="101"/>
    </row>
    <row r="1452" spans="3:10" ht="16.5">
      <c r="C1452" s="101"/>
      <c r="D1452" s="101"/>
      <c r="E1452" s="101"/>
      <c r="F1452" s="101"/>
      <c r="G1452" s="101"/>
      <c r="H1452" s="101"/>
      <c r="I1452" s="101"/>
      <c r="J1452" s="101"/>
    </row>
    <row r="1453" spans="3:10" ht="16.5">
      <c r="C1453" s="101"/>
      <c r="D1453" s="101"/>
      <c r="E1453" s="101"/>
      <c r="F1453" s="101"/>
      <c r="G1453" s="101"/>
      <c r="H1453" s="101"/>
      <c r="I1453" s="101"/>
      <c r="J1453" s="101"/>
    </row>
    <row r="1454" spans="3:10" ht="16.5">
      <c r="C1454" s="101"/>
      <c r="D1454" s="101"/>
      <c r="E1454" s="101"/>
      <c r="F1454" s="101"/>
      <c r="G1454" s="101"/>
      <c r="H1454" s="101"/>
      <c r="I1454" s="101"/>
      <c r="J1454" s="101"/>
    </row>
    <row r="1455" spans="3:10" ht="16.5">
      <c r="C1455" s="101"/>
      <c r="D1455" s="101"/>
      <c r="E1455" s="101"/>
      <c r="F1455" s="101"/>
      <c r="G1455" s="101"/>
      <c r="H1455" s="101"/>
      <c r="I1455" s="101"/>
      <c r="J1455" s="101"/>
    </row>
    <row r="1456" spans="3:10" ht="16.5">
      <c r="C1456" s="101"/>
      <c r="D1456" s="101"/>
      <c r="E1456" s="101"/>
      <c r="F1456" s="101"/>
      <c r="G1456" s="101"/>
      <c r="H1456" s="101"/>
      <c r="I1456" s="101"/>
      <c r="J1456" s="101"/>
    </row>
    <row r="1457" spans="3:10" ht="16.5">
      <c r="C1457" s="101"/>
      <c r="D1457" s="101"/>
      <c r="E1457" s="101"/>
      <c r="F1457" s="101"/>
      <c r="G1457" s="101"/>
      <c r="H1457" s="101"/>
      <c r="I1457" s="101"/>
      <c r="J1457" s="101"/>
    </row>
    <row r="1458" spans="3:10" ht="16.5">
      <c r="C1458" s="101"/>
      <c r="D1458" s="101"/>
      <c r="E1458" s="101"/>
      <c r="F1458" s="101"/>
      <c r="G1458" s="101"/>
      <c r="H1458" s="101"/>
      <c r="I1458" s="101"/>
      <c r="J1458" s="101"/>
    </row>
    <row r="1459" spans="3:10" ht="16.5">
      <c r="C1459" s="101"/>
      <c r="D1459" s="101"/>
      <c r="E1459" s="101"/>
      <c r="F1459" s="101"/>
      <c r="G1459" s="101"/>
      <c r="H1459" s="101"/>
      <c r="I1459" s="101"/>
      <c r="J1459" s="101"/>
    </row>
    <row r="1460" spans="3:10" ht="16.5">
      <c r="C1460" s="101"/>
      <c r="D1460" s="101"/>
      <c r="E1460" s="101"/>
      <c r="F1460" s="101"/>
      <c r="G1460" s="101"/>
      <c r="H1460" s="101"/>
      <c r="I1460" s="101"/>
      <c r="J1460" s="101"/>
    </row>
    <row r="1461" spans="3:10" ht="16.5">
      <c r="C1461" s="101"/>
      <c r="D1461" s="101"/>
      <c r="E1461" s="101"/>
      <c r="F1461" s="101"/>
      <c r="G1461" s="101"/>
      <c r="H1461" s="101"/>
      <c r="I1461" s="101"/>
      <c r="J1461" s="101"/>
    </row>
    <row r="1462" spans="3:10" ht="16.5">
      <c r="C1462" s="101"/>
      <c r="D1462" s="101"/>
      <c r="E1462" s="101"/>
      <c r="F1462" s="101"/>
      <c r="G1462" s="101"/>
      <c r="H1462" s="101"/>
      <c r="I1462" s="101"/>
      <c r="J1462" s="101"/>
    </row>
    <row r="1463" spans="3:10" ht="16.5">
      <c r="C1463" s="101"/>
      <c r="D1463" s="101"/>
      <c r="E1463" s="101"/>
      <c r="F1463" s="101"/>
      <c r="G1463" s="101"/>
      <c r="H1463" s="101"/>
      <c r="I1463" s="101"/>
      <c r="J1463" s="101"/>
    </row>
    <row r="1464" spans="3:10" ht="16.5">
      <c r="C1464" s="101"/>
      <c r="D1464" s="101"/>
      <c r="E1464" s="101"/>
      <c r="F1464" s="101"/>
      <c r="G1464" s="101"/>
      <c r="H1464" s="101"/>
      <c r="I1464" s="101"/>
      <c r="J1464" s="101"/>
    </row>
    <row r="1465" spans="3:10" ht="16.5">
      <c r="C1465" s="101"/>
      <c r="D1465" s="101"/>
      <c r="E1465" s="101"/>
      <c r="F1465" s="101"/>
      <c r="G1465" s="101"/>
      <c r="H1465" s="101"/>
      <c r="I1465" s="101"/>
      <c r="J1465" s="101"/>
    </row>
    <row r="1466" spans="3:10" ht="16.5">
      <c r="C1466" s="101"/>
      <c r="D1466" s="101"/>
      <c r="E1466" s="101"/>
      <c r="F1466" s="101"/>
      <c r="G1466" s="101"/>
      <c r="H1466" s="101"/>
      <c r="I1466" s="101"/>
      <c r="J1466" s="101"/>
    </row>
    <row r="1467" spans="3:10" ht="16.5">
      <c r="C1467" s="101"/>
      <c r="D1467" s="101"/>
      <c r="E1467" s="101"/>
      <c r="F1467" s="101"/>
      <c r="G1467" s="101"/>
      <c r="H1467" s="101"/>
      <c r="I1467" s="101"/>
      <c r="J1467" s="101"/>
    </row>
    <row r="1468" spans="3:10" ht="16.5">
      <c r="C1468" s="101"/>
      <c r="D1468" s="101"/>
      <c r="E1468" s="101"/>
      <c r="F1468" s="101"/>
      <c r="G1468" s="101"/>
      <c r="H1468" s="101"/>
      <c r="I1468" s="101"/>
      <c r="J1468" s="101"/>
    </row>
    <row r="1469" spans="3:10" ht="16.5">
      <c r="C1469" s="101"/>
      <c r="D1469" s="101"/>
      <c r="E1469" s="101"/>
      <c r="F1469" s="101"/>
      <c r="G1469" s="101"/>
      <c r="H1469" s="101"/>
      <c r="I1469" s="101"/>
      <c r="J1469" s="101"/>
    </row>
    <row r="1470" spans="3:10" ht="16.5">
      <c r="C1470" s="101"/>
      <c r="D1470" s="101"/>
      <c r="E1470" s="101"/>
      <c r="F1470" s="101"/>
      <c r="G1470" s="101"/>
      <c r="H1470" s="101"/>
      <c r="I1470" s="101"/>
      <c r="J1470" s="101"/>
    </row>
    <row r="1471" spans="3:10" ht="16.5">
      <c r="C1471" s="101"/>
      <c r="D1471" s="101"/>
      <c r="E1471" s="101"/>
      <c r="F1471" s="101"/>
      <c r="G1471" s="101"/>
      <c r="H1471" s="101"/>
      <c r="I1471" s="101"/>
      <c r="J1471" s="101"/>
    </row>
    <row r="1472" spans="3:10" ht="16.5">
      <c r="C1472" s="101"/>
      <c r="D1472" s="101"/>
      <c r="E1472" s="101"/>
      <c r="F1472" s="101"/>
      <c r="G1472" s="101"/>
      <c r="H1472" s="101"/>
      <c r="I1472" s="101"/>
      <c r="J1472" s="101"/>
    </row>
    <row r="1473" spans="3:10" ht="16.5">
      <c r="C1473" s="101"/>
      <c r="D1473" s="101"/>
      <c r="E1473" s="101"/>
      <c r="F1473" s="101"/>
      <c r="G1473" s="101"/>
      <c r="H1473" s="101"/>
      <c r="I1473" s="101"/>
      <c r="J1473" s="101"/>
    </row>
    <row r="1474" spans="3:10" ht="16.5">
      <c r="C1474" s="101"/>
      <c r="D1474" s="101"/>
      <c r="E1474" s="101"/>
      <c r="F1474" s="101"/>
      <c r="G1474" s="101"/>
      <c r="H1474" s="101"/>
      <c r="I1474" s="101"/>
      <c r="J1474" s="101"/>
    </row>
    <row r="1475" spans="3:10" ht="16.5">
      <c r="C1475" s="101"/>
      <c r="D1475" s="101"/>
      <c r="E1475" s="101"/>
      <c r="F1475" s="101"/>
      <c r="G1475" s="101"/>
      <c r="H1475" s="101"/>
      <c r="I1475" s="101"/>
      <c r="J1475" s="101"/>
    </row>
    <row r="1476" spans="3:10" ht="16.5">
      <c r="C1476" s="101"/>
      <c r="D1476" s="101"/>
      <c r="E1476" s="101"/>
      <c r="F1476" s="101"/>
      <c r="G1476" s="101"/>
      <c r="H1476" s="101"/>
      <c r="I1476" s="101"/>
      <c r="J1476" s="101"/>
    </row>
    <row r="1477" spans="3:10" ht="16.5">
      <c r="C1477" s="101"/>
      <c r="D1477" s="101"/>
      <c r="E1477" s="101"/>
      <c r="F1477" s="101"/>
      <c r="G1477" s="101"/>
      <c r="H1477" s="101"/>
      <c r="I1477" s="101"/>
      <c r="J1477" s="101"/>
    </row>
    <row r="1478" spans="3:10" ht="16.5">
      <c r="C1478" s="101"/>
      <c r="D1478" s="101"/>
      <c r="E1478" s="101"/>
      <c r="F1478" s="101"/>
      <c r="G1478" s="101"/>
      <c r="H1478" s="101"/>
      <c r="I1478" s="101"/>
      <c r="J1478" s="101"/>
    </row>
    <row r="1479" spans="3:10" ht="16.5">
      <c r="C1479" s="101"/>
      <c r="D1479" s="101"/>
      <c r="E1479" s="101"/>
      <c r="F1479" s="101"/>
      <c r="G1479" s="101"/>
      <c r="H1479" s="101"/>
      <c r="I1479" s="101"/>
      <c r="J1479" s="101"/>
    </row>
    <row r="1480" spans="3:10" ht="16.5">
      <c r="C1480" s="101"/>
      <c r="D1480" s="101"/>
      <c r="E1480" s="101"/>
      <c r="F1480" s="101"/>
      <c r="G1480" s="101"/>
      <c r="H1480" s="101"/>
      <c r="I1480" s="101"/>
      <c r="J1480" s="101"/>
    </row>
    <row r="1481" spans="3:10" ht="16.5">
      <c r="C1481" s="101"/>
      <c r="D1481" s="101"/>
      <c r="E1481" s="101"/>
      <c r="F1481" s="101"/>
      <c r="G1481" s="101"/>
      <c r="H1481" s="101"/>
      <c r="I1481" s="101"/>
      <c r="J1481" s="101"/>
    </row>
    <row r="1482" spans="3:10" ht="16.5">
      <c r="C1482" s="101"/>
      <c r="D1482" s="101"/>
      <c r="E1482" s="101"/>
      <c r="F1482" s="101"/>
      <c r="G1482" s="101"/>
      <c r="H1482" s="101"/>
      <c r="I1482" s="101"/>
      <c r="J1482" s="101"/>
    </row>
    <row r="1483" spans="3:10" ht="16.5">
      <c r="C1483" s="101"/>
      <c r="D1483" s="101"/>
      <c r="E1483" s="101"/>
      <c r="F1483" s="101"/>
      <c r="G1483" s="101"/>
      <c r="H1483" s="101"/>
      <c r="I1483" s="101"/>
      <c r="J1483" s="101"/>
    </row>
    <row r="1484" spans="3:10" ht="16.5">
      <c r="C1484" s="101"/>
      <c r="D1484" s="101"/>
      <c r="E1484" s="101"/>
      <c r="F1484" s="101"/>
      <c r="G1484" s="101"/>
      <c r="H1484" s="101"/>
      <c r="I1484" s="101"/>
      <c r="J1484" s="101"/>
    </row>
    <row r="1485" spans="3:10" ht="16.5">
      <c r="C1485" s="101"/>
      <c r="D1485" s="101"/>
      <c r="E1485" s="101"/>
      <c r="F1485" s="101"/>
      <c r="G1485" s="101"/>
      <c r="H1485" s="101"/>
      <c r="I1485" s="101"/>
      <c r="J1485" s="101"/>
    </row>
    <row r="1486" spans="3:10" ht="16.5">
      <c r="C1486" s="101"/>
      <c r="D1486" s="101"/>
      <c r="E1486" s="101"/>
      <c r="F1486" s="101"/>
      <c r="G1486" s="101"/>
      <c r="H1486" s="101"/>
      <c r="I1486" s="101"/>
      <c r="J1486" s="101"/>
    </row>
    <row r="1487" spans="3:10" ht="16.5">
      <c r="C1487" s="101"/>
      <c r="D1487" s="101"/>
      <c r="E1487" s="101"/>
      <c r="F1487" s="101"/>
      <c r="G1487" s="101"/>
      <c r="H1487" s="101"/>
      <c r="I1487" s="101"/>
      <c r="J1487" s="101"/>
    </row>
    <row r="1488" spans="3:10" ht="16.5">
      <c r="C1488" s="101"/>
      <c r="D1488" s="101"/>
      <c r="E1488" s="101"/>
      <c r="F1488" s="101"/>
      <c r="G1488" s="101"/>
      <c r="H1488" s="101"/>
      <c r="I1488" s="101"/>
      <c r="J1488" s="101"/>
    </row>
    <row r="1489" spans="3:10" ht="16.5">
      <c r="C1489" s="101"/>
      <c r="D1489" s="101"/>
      <c r="E1489" s="101"/>
      <c r="F1489" s="101"/>
      <c r="G1489" s="101"/>
      <c r="H1489" s="101"/>
      <c r="I1489" s="101"/>
      <c r="J1489" s="101"/>
    </row>
    <row r="1490" spans="3:10" ht="16.5">
      <c r="C1490" s="101"/>
      <c r="D1490" s="101"/>
      <c r="E1490" s="101"/>
      <c r="F1490" s="101"/>
      <c r="G1490" s="101"/>
      <c r="H1490" s="101"/>
      <c r="I1490" s="101"/>
      <c r="J1490" s="101"/>
    </row>
    <row r="1491" spans="3:10" ht="16.5">
      <c r="C1491" s="101"/>
      <c r="D1491" s="101"/>
      <c r="E1491" s="101"/>
      <c r="F1491" s="101"/>
      <c r="G1491" s="101"/>
      <c r="H1491" s="101"/>
      <c r="I1491" s="101"/>
      <c r="J1491" s="101"/>
    </row>
    <row r="1492" spans="3:10" ht="16.5">
      <c r="C1492" s="101"/>
      <c r="D1492" s="101"/>
      <c r="E1492" s="101"/>
      <c r="F1492" s="101"/>
      <c r="G1492" s="101"/>
      <c r="H1492" s="101"/>
      <c r="I1492" s="101"/>
      <c r="J1492" s="101"/>
    </row>
    <row r="1493" spans="3:10" ht="16.5">
      <c r="C1493" s="101"/>
      <c r="D1493" s="101"/>
      <c r="E1493" s="101"/>
      <c r="F1493" s="101"/>
      <c r="G1493" s="101"/>
      <c r="H1493" s="101"/>
      <c r="I1493" s="101"/>
      <c r="J1493" s="101"/>
    </row>
    <row r="1494" spans="3:10" ht="16.5">
      <c r="C1494" s="101"/>
      <c r="D1494" s="101"/>
      <c r="E1494" s="101"/>
      <c r="F1494" s="101"/>
      <c r="G1494" s="101"/>
      <c r="H1494" s="101"/>
      <c r="I1494" s="101"/>
      <c r="J1494" s="101"/>
    </row>
    <row r="1495" spans="3:10" ht="16.5">
      <c r="C1495" s="101"/>
      <c r="D1495" s="101"/>
      <c r="E1495" s="101"/>
      <c r="F1495" s="101"/>
      <c r="G1495" s="101"/>
      <c r="H1495" s="101"/>
      <c r="I1495" s="101"/>
      <c r="J1495" s="101"/>
    </row>
    <row r="1496" spans="3:10" ht="16.5">
      <c r="C1496" s="101"/>
      <c r="D1496" s="101"/>
      <c r="E1496" s="101"/>
      <c r="F1496" s="101"/>
      <c r="G1496" s="101"/>
      <c r="H1496" s="101"/>
      <c r="I1496" s="101"/>
      <c r="J1496" s="101"/>
    </row>
    <row r="1497" spans="3:10" ht="16.5">
      <c r="C1497" s="101"/>
      <c r="D1497" s="101"/>
      <c r="E1497" s="101"/>
      <c r="F1497" s="101"/>
      <c r="G1497" s="101"/>
      <c r="H1497" s="101"/>
      <c r="I1497" s="101"/>
      <c r="J1497" s="101"/>
    </row>
    <row r="1498" spans="3:10" ht="16.5">
      <c r="C1498" s="101"/>
      <c r="D1498" s="101"/>
      <c r="E1498" s="101"/>
      <c r="F1498" s="101"/>
      <c r="G1498" s="101"/>
      <c r="H1498" s="101"/>
      <c r="I1498" s="101"/>
      <c r="J1498" s="101"/>
    </row>
    <row r="1499" spans="3:10" ht="16.5">
      <c r="C1499" s="101"/>
      <c r="D1499" s="101"/>
      <c r="E1499" s="101"/>
      <c r="F1499" s="101"/>
      <c r="G1499" s="101"/>
      <c r="H1499" s="101"/>
      <c r="I1499" s="101"/>
      <c r="J1499" s="101"/>
    </row>
    <row r="1500" spans="3:10" ht="16.5">
      <c r="C1500" s="101"/>
      <c r="D1500" s="101"/>
      <c r="E1500" s="101"/>
      <c r="F1500" s="101"/>
      <c r="G1500" s="101"/>
      <c r="H1500" s="101"/>
      <c r="I1500" s="101"/>
      <c r="J1500" s="101"/>
    </row>
    <row r="1501" spans="3:10" ht="16.5">
      <c r="C1501" s="101"/>
      <c r="D1501" s="101"/>
      <c r="E1501" s="101"/>
      <c r="F1501" s="101"/>
      <c r="G1501" s="101"/>
      <c r="H1501" s="101"/>
      <c r="I1501" s="101"/>
      <c r="J1501" s="101"/>
    </row>
    <row r="1502" spans="3:10" ht="16.5">
      <c r="C1502" s="101"/>
      <c r="D1502" s="101"/>
      <c r="E1502" s="101"/>
      <c r="F1502" s="101"/>
      <c r="G1502" s="101"/>
      <c r="H1502" s="101"/>
      <c r="I1502" s="101"/>
      <c r="J1502" s="101"/>
    </row>
    <row r="1503" spans="3:10" ht="16.5">
      <c r="C1503" s="101"/>
      <c r="D1503" s="101"/>
      <c r="E1503" s="101"/>
      <c r="F1503" s="101"/>
      <c r="G1503" s="101"/>
      <c r="H1503" s="101"/>
      <c r="I1503" s="101"/>
      <c r="J1503" s="101"/>
    </row>
    <row r="1504" spans="3:10" ht="16.5">
      <c r="C1504" s="101"/>
      <c r="D1504" s="101"/>
      <c r="E1504" s="101"/>
      <c r="F1504" s="101"/>
      <c r="G1504" s="101"/>
      <c r="H1504" s="101"/>
      <c r="I1504" s="101"/>
      <c r="J1504" s="101"/>
    </row>
    <row r="1505" spans="3:10" ht="16.5">
      <c r="C1505" s="101"/>
      <c r="D1505" s="101"/>
      <c r="E1505" s="101"/>
      <c r="F1505" s="101"/>
      <c r="G1505" s="101"/>
      <c r="H1505" s="101"/>
      <c r="I1505" s="101"/>
      <c r="J1505" s="101"/>
    </row>
    <row r="1506" spans="3:10" ht="16.5">
      <c r="C1506" s="101"/>
      <c r="D1506" s="101"/>
      <c r="E1506" s="101"/>
      <c r="F1506" s="101"/>
      <c r="G1506" s="101"/>
      <c r="H1506" s="101"/>
      <c r="I1506" s="101"/>
      <c r="J1506" s="101"/>
    </row>
    <row r="1507" spans="3:10" ht="16.5">
      <c r="C1507" s="101"/>
      <c r="D1507" s="101"/>
      <c r="E1507" s="101"/>
      <c r="F1507" s="101"/>
      <c r="G1507" s="101"/>
      <c r="H1507" s="101"/>
      <c r="I1507" s="101"/>
      <c r="J1507" s="101"/>
    </row>
    <row r="1508" spans="3:10" ht="16.5">
      <c r="C1508" s="101"/>
      <c r="D1508" s="101"/>
      <c r="E1508" s="101"/>
      <c r="F1508" s="101"/>
      <c r="G1508" s="101"/>
      <c r="H1508" s="101"/>
      <c r="I1508" s="101"/>
      <c r="J1508" s="101"/>
    </row>
    <row r="1509" spans="3:10" ht="16.5">
      <c r="C1509" s="101"/>
      <c r="D1509" s="101"/>
      <c r="E1509" s="101"/>
      <c r="F1509" s="101"/>
      <c r="G1509" s="101"/>
      <c r="H1509" s="101"/>
      <c r="I1509" s="101"/>
      <c r="J1509" s="101"/>
    </row>
    <row r="1510" spans="3:10" ht="16.5">
      <c r="C1510" s="101"/>
      <c r="D1510" s="101"/>
      <c r="E1510" s="101"/>
      <c r="F1510" s="101"/>
      <c r="G1510" s="101"/>
      <c r="H1510" s="101"/>
      <c r="I1510" s="101"/>
      <c r="J1510" s="101"/>
    </row>
    <row r="1511" spans="3:10" ht="16.5">
      <c r="C1511" s="101"/>
      <c r="D1511" s="101"/>
      <c r="E1511" s="101"/>
      <c r="F1511" s="101"/>
      <c r="G1511" s="101"/>
      <c r="H1511" s="101"/>
      <c r="I1511" s="101"/>
      <c r="J1511" s="101"/>
    </row>
    <row r="1512" spans="3:10" ht="16.5">
      <c r="C1512" s="101"/>
      <c r="D1512" s="101"/>
      <c r="E1512" s="101"/>
      <c r="F1512" s="101"/>
      <c r="G1512" s="101"/>
      <c r="H1512" s="101"/>
      <c r="I1512" s="101"/>
      <c r="J1512" s="101"/>
    </row>
    <row r="1513" spans="3:10" ht="16.5">
      <c r="C1513" s="101"/>
      <c r="D1513" s="101"/>
      <c r="E1513" s="101"/>
      <c r="F1513" s="101"/>
      <c r="G1513" s="101"/>
      <c r="H1513" s="101"/>
      <c r="I1513" s="101"/>
      <c r="J1513" s="101"/>
    </row>
    <row r="1514" spans="3:10" ht="16.5">
      <c r="C1514" s="101"/>
      <c r="D1514" s="101"/>
      <c r="E1514" s="101"/>
      <c r="F1514" s="101"/>
      <c r="G1514" s="101"/>
      <c r="H1514" s="101"/>
      <c r="I1514" s="101"/>
      <c r="J1514" s="101"/>
    </row>
    <row r="1515" spans="3:10" ht="16.5">
      <c r="C1515" s="101"/>
      <c r="D1515" s="101"/>
      <c r="E1515" s="101"/>
      <c r="F1515" s="101"/>
      <c r="G1515" s="101"/>
      <c r="H1515" s="101"/>
      <c r="I1515" s="101"/>
      <c r="J1515" s="101"/>
    </row>
    <row r="1516" spans="3:10" ht="16.5">
      <c r="C1516" s="101"/>
      <c r="D1516" s="101"/>
      <c r="E1516" s="101"/>
      <c r="F1516" s="101"/>
      <c r="G1516" s="101"/>
      <c r="H1516" s="101"/>
      <c r="I1516" s="101"/>
      <c r="J1516" s="101"/>
    </row>
    <row r="1517" spans="3:10" ht="16.5">
      <c r="C1517" s="101"/>
      <c r="D1517" s="101"/>
      <c r="E1517" s="101"/>
      <c r="F1517" s="101"/>
      <c r="G1517" s="101"/>
      <c r="H1517" s="101"/>
      <c r="I1517" s="101"/>
      <c r="J1517" s="101"/>
    </row>
    <row r="1518" spans="3:10" ht="16.5">
      <c r="C1518" s="101"/>
      <c r="D1518" s="101"/>
      <c r="E1518" s="101"/>
      <c r="F1518" s="101"/>
      <c r="G1518" s="101"/>
      <c r="H1518" s="101"/>
      <c r="I1518" s="101"/>
      <c r="J1518" s="101"/>
    </row>
    <row r="1519" spans="3:10" ht="16.5">
      <c r="C1519" s="101"/>
      <c r="D1519" s="101"/>
      <c r="E1519" s="101"/>
      <c r="F1519" s="101"/>
      <c r="G1519" s="101"/>
      <c r="H1519" s="101"/>
      <c r="I1519" s="101"/>
      <c r="J1519" s="101"/>
    </row>
    <row r="1520" spans="3:10" ht="16.5">
      <c r="C1520" s="101"/>
      <c r="D1520" s="101"/>
      <c r="E1520" s="101"/>
      <c r="F1520" s="101"/>
      <c r="G1520" s="101"/>
      <c r="H1520" s="101"/>
      <c r="I1520" s="101"/>
      <c r="J1520" s="101"/>
    </row>
    <row r="1521" spans="3:10" ht="16.5">
      <c r="C1521" s="101"/>
      <c r="D1521" s="101"/>
      <c r="E1521" s="101"/>
      <c r="F1521" s="101"/>
      <c r="G1521" s="101"/>
      <c r="H1521" s="101"/>
      <c r="I1521" s="101"/>
      <c r="J1521" s="101"/>
    </row>
    <row r="1522" spans="3:10" ht="16.5">
      <c r="C1522" s="101"/>
      <c r="D1522" s="101"/>
      <c r="E1522" s="101"/>
      <c r="F1522" s="101"/>
      <c r="G1522" s="101"/>
      <c r="H1522" s="101"/>
      <c r="I1522" s="101"/>
      <c r="J1522" s="101"/>
    </row>
    <row r="1523" spans="3:10" ht="16.5">
      <c r="C1523" s="101"/>
      <c r="D1523" s="101"/>
      <c r="E1523" s="101"/>
      <c r="F1523" s="101"/>
      <c r="G1523" s="101"/>
      <c r="H1523" s="101"/>
      <c r="I1523" s="101"/>
      <c r="J1523" s="101"/>
    </row>
    <row r="1524" spans="3:10" ht="16.5">
      <c r="C1524" s="101"/>
      <c r="D1524" s="101"/>
      <c r="E1524" s="101"/>
      <c r="F1524" s="101"/>
      <c r="G1524" s="101"/>
      <c r="H1524" s="101"/>
      <c r="I1524" s="101"/>
      <c r="J1524" s="101"/>
    </row>
    <row r="1525" spans="3:10" ht="16.5">
      <c r="C1525" s="101"/>
      <c r="D1525" s="101"/>
      <c r="E1525" s="101"/>
      <c r="F1525" s="101"/>
      <c r="G1525" s="101"/>
      <c r="H1525" s="101"/>
      <c r="I1525" s="101"/>
      <c r="J1525" s="101"/>
    </row>
    <row r="1526" spans="3:10" ht="16.5">
      <c r="C1526" s="101"/>
      <c r="D1526" s="101"/>
      <c r="E1526" s="101"/>
      <c r="F1526" s="101"/>
      <c r="G1526" s="101"/>
      <c r="H1526" s="101"/>
      <c r="I1526" s="101"/>
      <c r="J1526" s="101"/>
    </row>
    <row r="1527" spans="3:10" ht="16.5">
      <c r="C1527" s="101"/>
      <c r="D1527" s="101"/>
      <c r="E1527" s="101"/>
      <c r="F1527" s="101"/>
      <c r="G1527" s="101"/>
      <c r="H1527" s="101"/>
      <c r="I1527" s="101"/>
      <c r="J1527" s="101"/>
    </row>
    <row r="1528" spans="3:10" ht="16.5">
      <c r="C1528" s="101"/>
      <c r="D1528" s="101"/>
      <c r="E1528" s="101"/>
      <c r="F1528" s="101"/>
      <c r="G1528" s="101"/>
      <c r="H1528" s="101"/>
      <c r="I1528" s="101"/>
      <c r="J1528" s="101"/>
    </row>
    <row r="1529" spans="3:10" ht="16.5">
      <c r="C1529" s="101"/>
      <c r="D1529" s="101"/>
      <c r="E1529" s="101"/>
      <c r="F1529" s="101"/>
      <c r="G1529" s="101"/>
      <c r="H1529" s="101"/>
      <c r="I1529" s="101"/>
      <c r="J1529" s="101"/>
    </row>
    <row r="1530" spans="3:10" ht="16.5">
      <c r="C1530" s="101"/>
      <c r="D1530" s="101"/>
      <c r="E1530" s="101"/>
      <c r="F1530" s="101"/>
      <c r="G1530" s="101"/>
      <c r="H1530" s="101"/>
      <c r="I1530" s="101"/>
      <c r="J1530" s="101"/>
    </row>
    <row r="1531" spans="3:10" ht="16.5">
      <c r="C1531" s="101"/>
      <c r="D1531" s="101"/>
      <c r="E1531" s="101"/>
      <c r="F1531" s="101"/>
      <c r="G1531" s="101"/>
      <c r="H1531" s="101"/>
      <c r="I1531" s="101"/>
      <c r="J1531" s="101"/>
    </row>
    <row r="1532" spans="3:10" ht="16.5">
      <c r="C1532" s="101"/>
      <c r="D1532" s="101"/>
      <c r="E1532" s="101"/>
      <c r="F1532" s="101"/>
      <c r="G1532" s="101"/>
      <c r="H1532" s="101"/>
      <c r="I1532" s="101"/>
      <c r="J1532" s="101"/>
    </row>
    <row r="1533" spans="3:10" ht="16.5">
      <c r="C1533" s="101"/>
      <c r="D1533" s="101"/>
      <c r="E1533" s="101"/>
      <c r="F1533" s="101"/>
      <c r="G1533" s="101"/>
      <c r="H1533" s="101"/>
      <c r="I1533" s="101"/>
      <c r="J1533" s="101"/>
    </row>
    <row r="1534" spans="3:10" ht="16.5">
      <c r="C1534" s="101"/>
      <c r="D1534" s="101"/>
      <c r="E1534" s="101"/>
      <c r="F1534" s="101"/>
      <c r="G1534" s="101"/>
      <c r="H1534" s="101"/>
      <c r="I1534" s="101"/>
      <c r="J1534" s="101"/>
    </row>
    <row r="1535" spans="3:10" ht="16.5">
      <c r="C1535" s="101"/>
      <c r="D1535" s="101"/>
      <c r="E1535" s="101"/>
      <c r="F1535" s="101"/>
      <c r="G1535" s="101"/>
      <c r="H1535" s="101"/>
      <c r="I1535" s="101"/>
      <c r="J1535" s="101"/>
    </row>
    <row r="1536" spans="3:10" ht="16.5">
      <c r="C1536" s="101"/>
      <c r="D1536" s="101"/>
      <c r="E1536" s="101"/>
      <c r="F1536" s="101"/>
      <c r="G1536" s="101"/>
      <c r="H1536" s="101"/>
      <c r="I1536" s="101"/>
      <c r="J1536" s="101"/>
    </row>
    <row r="1537" spans="3:10" ht="16.5">
      <c r="C1537" s="101"/>
      <c r="D1537" s="101"/>
      <c r="E1537" s="101"/>
      <c r="F1537" s="101"/>
      <c r="G1537" s="101"/>
      <c r="H1537" s="101"/>
      <c r="I1537" s="101"/>
      <c r="J1537" s="101"/>
    </row>
    <row r="1538" spans="3:10" ht="16.5">
      <c r="C1538" s="101"/>
      <c r="D1538" s="101"/>
      <c r="E1538" s="101"/>
      <c r="F1538" s="101"/>
      <c r="G1538" s="101"/>
      <c r="H1538" s="101"/>
      <c r="I1538" s="101"/>
      <c r="J1538" s="101"/>
    </row>
    <row r="1539" spans="3:10" ht="16.5">
      <c r="C1539" s="101"/>
      <c r="D1539" s="101"/>
      <c r="E1539" s="101"/>
      <c r="F1539" s="101"/>
      <c r="G1539" s="101"/>
      <c r="H1539" s="101"/>
      <c r="I1539" s="101"/>
      <c r="J1539" s="101"/>
    </row>
    <row r="1540" spans="3:10" ht="16.5">
      <c r="C1540" s="101"/>
      <c r="D1540" s="101"/>
      <c r="E1540" s="101"/>
      <c r="F1540" s="101"/>
      <c r="G1540" s="101"/>
      <c r="H1540" s="101"/>
      <c r="I1540" s="101"/>
      <c r="J1540" s="101"/>
    </row>
    <row r="1541" spans="3:10" ht="16.5">
      <c r="C1541" s="101"/>
      <c r="D1541" s="101"/>
      <c r="E1541" s="101"/>
      <c r="F1541" s="101"/>
      <c r="G1541" s="101"/>
      <c r="H1541" s="101"/>
      <c r="I1541" s="101"/>
      <c r="J1541" s="101"/>
    </row>
    <row r="1542" spans="3:10" ht="16.5">
      <c r="C1542" s="101"/>
      <c r="D1542" s="101"/>
      <c r="E1542" s="101"/>
      <c r="F1542" s="101"/>
      <c r="G1542" s="101"/>
      <c r="H1542" s="101"/>
      <c r="I1542" s="101"/>
      <c r="J1542" s="101"/>
    </row>
    <row r="1543" spans="3:10" ht="16.5">
      <c r="C1543" s="101"/>
      <c r="D1543" s="101"/>
      <c r="E1543" s="101"/>
      <c r="F1543" s="101"/>
      <c r="G1543" s="101"/>
      <c r="H1543" s="101"/>
      <c r="I1543" s="101"/>
      <c r="J1543" s="101"/>
    </row>
    <row r="1544" spans="3:10" ht="16.5">
      <c r="C1544" s="101"/>
      <c r="D1544" s="101"/>
      <c r="E1544" s="101"/>
      <c r="F1544" s="101"/>
      <c r="G1544" s="101"/>
      <c r="H1544" s="101"/>
      <c r="I1544" s="101"/>
      <c r="J1544" s="101"/>
    </row>
    <row r="1545" spans="3:10" ht="16.5">
      <c r="C1545" s="101"/>
      <c r="D1545" s="101"/>
      <c r="E1545" s="101"/>
      <c r="F1545" s="101"/>
      <c r="G1545" s="101"/>
      <c r="H1545" s="101"/>
      <c r="I1545" s="101"/>
      <c r="J1545" s="101"/>
    </row>
    <row r="1546" spans="3:10" ht="16.5">
      <c r="C1546" s="101"/>
      <c r="D1546" s="101"/>
      <c r="E1546" s="101"/>
      <c r="F1546" s="101"/>
      <c r="G1546" s="101"/>
      <c r="H1546" s="101"/>
      <c r="I1546" s="101"/>
      <c r="J1546" s="101"/>
    </row>
    <row r="1547" spans="3:10" ht="16.5">
      <c r="C1547" s="101"/>
      <c r="D1547" s="101"/>
      <c r="E1547" s="101"/>
      <c r="F1547" s="101"/>
      <c r="G1547" s="101"/>
      <c r="H1547" s="101"/>
      <c r="I1547" s="101"/>
      <c r="J1547" s="101"/>
    </row>
    <row r="1548" spans="3:10" ht="16.5">
      <c r="C1548" s="101"/>
      <c r="D1548" s="101"/>
      <c r="E1548" s="101"/>
      <c r="F1548" s="101"/>
      <c r="G1548" s="101"/>
      <c r="H1548" s="101"/>
      <c r="I1548" s="101"/>
      <c r="J1548" s="101"/>
    </row>
    <row r="1549" spans="3:10" ht="16.5">
      <c r="C1549" s="101"/>
      <c r="D1549" s="101"/>
      <c r="E1549" s="101"/>
      <c r="F1549" s="101"/>
      <c r="G1549" s="101"/>
      <c r="H1549" s="101"/>
      <c r="I1549" s="101"/>
      <c r="J1549" s="101"/>
    </row>
    <row r="1550" spans="3:10" ht="16.5">
      <c r="C1550" s="101"/>
      <c r="D1550" s="101"/>
      <c r="E1550" s="101"/>
      <c r="F1550" s="101"/>
      <c r="G1550" s="101"/>
      <c r="H1550" s="101"/>
      <c r="I1550" s="101"/>
      <c r="J1550" s="101"/>
    </row>
    <row r="1551" spans="3:10" ht="16.5">
      <c r="C1551" s="101"/>
      <c r="D1551" s="101"/>
      <c r="E1551" s="101"/>
      <c r="F1551" s="101"/>
      <c r="G1551" s="101"/>
      <c r="H1551" s="101"/>
      <c r="I1551" s="101"/>
      <c r="J1551" s="101"/>
    </row>
    <row r="1552" spans="3:10" ht="16.5">
      <c r="C1552" s="101"/>
      <c r="D1552" s="101"/>
      <c r="E1552" s="101"/>
      <c r="F1552" s="101"/>
      <c r="G1552" s="101"/>
      <c r="H1552" s="101"/>
      <c r="I1552" s="101"/>
      <c r="J1552" s="101"/>
    </row>
    <row r="1553" spans="3:10" ht="16.5">
      <c r="C1553" s="101"/>
      <c r="D1553" s="101"/>
      <c r="E1553" s="101"/>
      <c r="F1553" s="101"/>
      <c r="G1553" s="101"/>
      <c r="H1553" s="101"/>
      <c r="I1553" s="101"/>
      <c r="J1553" s="101"/>
    </row>
    <row r="1554" spans="3:10" ht="16.5">
      <c r="C1554" s="101"/>
      <c r="D1554" s="101"/>
      <c r="E1554" s="101"/>
      <c r="F1554" s="101"/>
      <c r="G1554" s="101"/>
      <c r="H1554" s="101"/>
      <c r="I1554" s="101"/>
      <c r="J1554" s="101"/>
    </row>
    <row r="1555" spans="3:10" ht="16.5">
      <c r="C1555" s="101"/>
      <c r="D1555" s="101"/>
      <c r="E1555" s="101"/>
      <c r="F1555" s="101"/>
      <c r="G1555" s="101"/>
      <c r="H1555" s="101"/>
      <c r="I1555" s="101"/>
      <c r="J1555" s="101"/>
    </row>
    <row r="1556" spans="3:10" ht="16.5">
      <c r="C1556" s="101"/>
      <c r="D1556" s="101"/>
      <c r="E1556" s="101"/>
      <c r="F1556" s="101"/>
      <c r="G1556" s="101"/>
      <c r="H1556" s="101"/>
      <c r="I1556" s="101"/>
      <c r="J1556" s="101"/>
    </row>
    <row r="1557" spans="3:10" ht="16.5">
      <c r="C1557" s="101"/>
      <c r="D1557" s="101"/>
      <c r="E1557" s="101"/>
      <c r="F1557" s="101"/>
      <c r="G1557" s="101"/>
      <c r="H1557" s="101"/>
      <c r="I1557" s="101"/>
      <c r="J1557" s="101"/>
    </row>
    <row r="1558" spans="3:10" ht="16.5">
      <c r="C1558" s="101"/>
      <c r="D1558" s="101"/>
      <c r="E1558" s="101"/>
      <c r="F1558" s="101"/>
      <c r="G1558" s="101"/>
      <c r="H1558" s="101"/>
      <c r="I1558" s="101"/>
      <c r="J1558" s="101"/>
    </row>
    <row r="1559" spans="3:10" ht="16.5">
      <c r="C1559" s="101"/>
      <c r="D1559" s="101"/>
      <c r="E1559" s="101"/>
      <c r="F1559" s="101"/>
      <c r="G1559" s="101"/>
      <c r="H1559" s="101"/>
      <c r="I1559" s="101"/>
      <c r="J1559" s="101"/>
    </row>
    <row r="1560" spans="3:10" ht="16.5">
      <c r="C1560" s="101"/>
      <c r="D1560" s="101"/>
      <c r="E1560" s="101"/>
      <c r="F1560" s="101"/>
      <c r="G1560" s="101"/>
      <c r="H1560" s="101"/>
      <c r="I1560" s="101"/>
      <c r="J1560" s="101"/>
    </row>
    <row r="1561" spans="3:10" ht="16.5">
      <c r="C1561" s="101"/>
      <c r="D1561" s="101"/>
      <c r="E1561" s="101"/>
      <c r="F1561" s="101"/>
      <c r="G1561" s="101"/>
      <c r="H1561" s="101"/>
      <c r="I1561" s="101"/>
      <c r="J1561" s="101"/>
    </row>
    <row r="1562" spans="3:10" ht="16.5">
      <c r="C1562" s="101"/>
      <c r="D1562" s="101"/>
      <c r="E1562" s="101"/>
      <c r="F1562" s="101"/>
      <c r="G1562" s="101"/>
      <c r="H1562" s="101"/>
      <c r="I1562" s="101"/>
      <c r="J1562" s="101"/>
    </row>
    <row r="1563" spans="3:10" ht="16.5">
      <c r="C1563" s="101"/>
      <c r="D1563" s="101"/>
      <c r="E1563" s="101"/>
      <c r="F1563" s="101"/>
      <c r="G1563" s="101"/>
      <c r="H1563" s="101"/>
      <c r="I1563" s="101"/>
      <c r="J1563" s="101"/>
    </row>
    <row r="1564" spans="3:10" ht="16.5">
      <c r="C1564" s="101"/>
      <c r="D1564" s="101"/>
      <c r="E1564" s="101"/>
      <c r="F1564" s="101"/>
      <c r="G1564" s="101"/>
      <c r="H1564" s="101"/>
      <c r="I1564" s="101"/>
      <c r="J1564" s="101"/>
    </row>
    <row r="1565" spans="3:10" ht="16.5">
      <c r="C1565" s="101"/>
      <c r="D1565" s="101"/>
      <c r="E1565" s="101"/>
      <c r="F1565" s="101"/>
      <c r="G1565" s="101"/>
      <c r="H1565" s="101"/>
      <c r="I1565" s="101"/>
      <c r="J1565" s="101"/>
    </row>
    <row r="1566" spans="3:10" ht="16.5">
      <c r="C1566" s="101"/>
      <c r="D1566" s="101"/>
      <c r="E1566" s="101"/>
      <c r="F1566" s="101"/>
      <c r="G1566" s="101"/>
      <c r="H1566" s="101"/>
      <c r="I1566" s="101"/>
      <c r="J1566" s="101"/>
    </row>
    <row r="1567" spans="3:10" ht="16.5">
      <c r="C1567" s="101"/>
      <c r="D1567" s="101"/>
      <c r="E1567" s="101"/>
      <c r="F1567" s="101"/>
      <c r="G1567" s="101"/>
      <c r="H1567" s="101"/>
      <c r="I1567" s="101"/>
      <c r="J1567" s="101"/>
    </row>
    <row r="1568" spans="3:10" ht="16.5">
      <c r="C1568" s="101"/>
      <c r="D1568" s="101"/>
      <c r="E1568" s="101"/>
      <c r="F1568" s="101"/>
      <c r="G1568" s="101"/>
      <c r="H1568" s="101"/>
      <c r="I1568" s="101"/>
      <c r="J1568" s="101"/>
    </row>
    <row r="1569" spans="3:10" ht="16.5">
      <c r="C1569" s="101"/>
      <c r="D1569" s="101"/>
      <c r="E1569" s="101"/>
      <c r="F1569" s="101"/>
      <c r="G1569" s="101"/>
      <c r="H1569" s="101"/>
      <c r="I1569" s="101"/>
      <c r="J1569" s="101"/>
    </row>
    <row r="1570" spans="3:10" ht="16.5">
      <c r="C1570" s="101"/>
      <c r="D1570" s="101"/>
      <c r="E1570" s="101"/>
      <c r="F1570" s="101"/>
      <c r="G1570" s="101"/>
      <c r="H1570" s="101"/>
      <c r="I1570" s="101"/>
      <c r="J1570" s="101"/>
    </row>
    <row r="1571" spans="3:10" ht="16.5">
      <c r="C1571" s="101"/>
      <c r="D1571" s="101"/>
      <c r="E1571" s="101"/>
      <c r="F1571" s="101"/>
      <c r="G1571" s="101"/>
      <c r="H1571" s="101"/>
      <c r="I1571" s="101"/>
      <c r="J1571" s="101"/>
    </row>
    <row r="1572" spans="3:10" ht="16.5">
      <c r="C1572" s="101"/>
      <c r="D1572" s="101"/>
      <c r="E1572" s="101"/>
      <c r="F1572" s="101"/>
      <c r="G1572" s="101"/>
      <c r="H1572" s="101"/>
      <c r="I1572" s="101"/>
      <c r="J1572" s="101"/>
    </row>
    <row r="1573" spans="3:10" ht="16.5">
      <c r="C1573" s="101"/>
      <c r="D1573" s="101"/>
      <c r="E1573" s="101"/>
      <c r="F1573" s="101"/>
      <c r="G1573" s="101"/>
      <c r="H1573" s="101"/>
      <c r="I1573" s="101"/>
      <c r="J1573" s="101"/>
    </row>
    <row r="1574" spans="3:10" ht="16.5">
      <c r="C1574" s="101"/>
      <c r="D1574" s="101"/>
      <c r="E1574" s="101"/>
      <c r="F1574" s="101"/>
      <c r="G1574" s="101"/>
      <c r="H1574" s="101"/>
      <c r="I1574" s="101"/>
      <c r="J1574" s="101"/>
    </row>
    <row r="1575" spans="3:10" ht="16.5">
      <c r="C1575" s="101"/>
      <c r="D1575" s="101"/>
      <c r="E1575" s="101"/>
      <c r="F1575" s="101"/>
      <c r="G1575" s="101"/>
      <c r="H1575" s="101"/>
      <c r="I1575" s="101"/>
      <c r="J1575" s="101"/>
    </row>
    <row r="1576" spans="3:10" ht="16.5">
      <c r="C1576" s="101"/>
      <c r="D1576" s="101"/>
      <c r="E1576" s="101"/>
      <c r="F1576" s="101"/>
      <c r="G1576" s="101"/>
      <c r="H1576" s="101"/>
      <c r="I1576" s="101"/>
      <c r="J1576" s="101"/>
    </row>
    <row r="1577" spans="3:10" ht="16.5">
      <c r="C1577" s="101"/>
      <c r="D1577" s="101"/>
      <c r="E1577" s="101"/>
      <c r="F1577" s="101"/>
      <c r="G1577" s="101"/>
      <c r="H1577" s="101"/>
      <c r="I1577" s="101"/>
      <c r="J1577" s="101"/>
    </row>
    <row r="1578" spans="3:10" ht="16.5">
      <c r="C1578" s="101"/>
      <c r="D1578" s="101"/>
      <c r="E1578" s="101"/>
      <c r="F1578" s="101"/>
      <c r="G1578" s="101"/>
      <c r="H1578" s="101"/>
      <c r="I1578" s="101"/>
      <c r="J1578" s="101"/>
    </row>
    <row r="1579" spans="3:10" ht="16.5">
      <c r="C1579" s="101"/>
      <c r="D1579" s="101"/>
      <c r="E1579" s="101"/>
      <c r="F1579" s="101"/>
      <c r="G1579" s="101"/>
      <c r="H1579" s="101"/>
      <c r="I1579" s="101"/>
      <c r="J1579" s="101"/>
    </row>
    <row r="1580" spans="3:10" ht="16.5">
      <c r="C1580" s="101"/>
      <c r="D1580" s="101"/>
      <c r="E1580" s="101"/>
      <c r="F1580" s="101"/>
      <c r="G1580" s="101"/>
      <c r="H1580" s="101"/>
      <c r="I1580" s="101"/>
      <c r="J1580" s="101"/>
    </row>
    <row r="1581" spans="3:10" ht="16.5">
      <c r="C1581" s="101"/>
      <c r="D1581" s="101"/>
      <c r="E1581" s="101"/>
      <c r="F1581" s="101"/>
      <c r="G1581" s="101"/>
      <c r="H1581" s="101"/>
      <c r="I1581" s="101"/>
      <c r="J1581" s="101"/>
    </row>
    <row r="1582" spans="3:10" ht="16.5">
      <c r="C1582" s="101"/>
      <c r="D1582" s="101"/>
      <c r="E1582" s="101"/>
      <c r="F1582" s="101"/>
      <c r="G1582" s="101"/>
      <c r="H1582" s="101"/>
      <c r="I1582" s="101"/>
      <c r="J1582" s="101"/>
    </row>
    <row r="1583" spans="3:10" ht="16.5">
      <c r="C1583" s="101"/>
      <c r="D1583" s="101"/>
      <c r="E1583" s="101"/>
      <c r="F1583" s="101"/>
      <c r="G1583" s="101"/>
      <c r="H1583" s="101"/>
      <c r="I1583" s="101"/>
      <c r="J1583" s="101"/>
    </row>
    <row r="1584" spans="3:10" ht="16.5">
      <c r="C1584" s="101"/>
      <c r="D1584" s="101"/>
      <c r="E1584" s="101"/>
      <c r="F1584" s="101"/>
      <c r="G1584" s="101"/>
      <c r="H1584" s="101"/>
      <c r="I1584" s="101"/>
      <c r="J1584" s="101"/>
    </row>
    <row r="1585" spans="3:10" ht="16.5">
      <c r="C1585" s="101"/>
      <c r="D1585" s="101"/>
      <c r="E1585" s="101"/>
      <c r="F1585" s="101"/>
      <c r="G1585" s="101"/>
      <c r="H1585" s="101"/>
      <c r="I1585" s="101"/>
      <c r="J1585" s="101"/>
    </row>
    <row r="1586" spans="3:10" ht="16.5">
      <c r="C1586" s="101"/>
      <c r="D1586" s="101"/>
      <c r="E1586" s="101"/>
      <c r="F1586" s="101"/>
      <c r="G1586" s="101"/>
      <c r="H1586" s="101"/>
      <c r="I1586" s="101"/>
      <c r="J1586" s="101"/>
    </row>
    <row r="1587" spans="3:10" ht="16.5">
      <c r="C1587" s="101"/>
      <c r="D1587" s="101"/>
      <c r="E1587" s="101"/>
      <c r="F1587" s="101"/>
      <c r="G1587" s="101"/>
      <c r="H1587" s="101"/>
      <c r="I1587" s="101"/>
      <c r="J1587" s="101"/>
    </row>
    <row r="1588" spans="3:10" ht="16.5">
      <c r="C1588" s="101"/>
      <c r="D1588" s="101"/>
      <c r="E1588" s="101"/>
      <c r="F1588" s="101"/>
      <c r="G1588" s="101"/>
      <c r="H1588" s="101"/>
      <c r="I1588" s="101"/>
      <c r="J1588" s="101"/>
    </row>
    <row r="1589" spans="3:10" ht="16.5">
      <c r="C1589" s="101"/>
      <c r="D1589" s="101"/>
      <c r="E1589" s="101"/>
      <c r="F1589" s="101"/>
      <c r="G1589" s="101"/>
      <c r="H1589" s="101"/>
      <c r="I1589" s="101"/>
      <c r="J1589" s="101"/>
    </row>
    <row r="1590" spans="3:10" ht="16.5">
      <c r="C1590" s="101"/>
      <c r="D1590" s="101"/>
      <c r="E1590" s="101"/>
      <c r="F1590" s="101"/>
      <c r="G1590" s="101"/>
      <c r="H1590" s="101"/>
      <c r="I1590" s="101"/>
      <c r="J1590" s="101"/>
    </row>
    <row r="1591" spans="3:10" ht="16.5">
      <c r="C1591" s="101"/>
      <c r="D1591" s="101"/>
      <c r="E1591" s="101"/>
      <c r="F1591" s="101"/>
      <c r="G1591" s="101"/>
      <c r="H1591" s="101"/>
      <c r="I1591" s="101"/>
      <c r="J1591" s="101"/>
    </row>
    <row r="1592" spans="3:10" ht="16.5">
      <c r="C1592" s="101"/>
      <c r="D1592" s="101"/>
      <c r="E1592" s="101"/>
      <c r="F1592" s="101"/>
      <c r="G1592" s="101"/>
      <c r="H1592" s="101"/>
      <c r="I1592" s="101"/>
      <c r="J1592" s="101"/>
    </row>
    <row r="1593" spans="3:10" ht="16.5">
      <c r="C1593" s="101"/>
      <c r="D1593" s="101"/>
      <c r="E1593" s="101"/>
      <c r="F1593" s="101"/>
      <c r="G1593" s="101"/>
      <c r="H1593" s="101"/>
      <c r="I1593" s="101"/>
      <c r="J1593" s="101"/>
    </row>
    <row r="1594" spans="3:10" ht="16.5">
      <c r="C1594" s="101"/>
      <c r="D1594" s="101"/>
      <c r="E1594" s="101"/>
      <c r="F1594" s="101"/>
      <c r="G1594" s="101"/>
      <c r="H1594" s="101"/>
      <c r="I1594" s="101"/>
      <c r="J1594" s="101"/>
    </row>
    <row r="1595" spans="3:10" ht="16.5">
      <c r="C1595" s="101"/>
      <c r="D1595" s="101"/>
      <c r="E1595" s="101"/>
      <c r="F1595" s="101"/>
      <c r="G1595" s="101"/>
      <c r="H1595" s="101"/>
      <c r="I1595" s="101"/>
      <c r="J1595" s="101"/>
    </row>
    <row r="1596" spans="3:10" ht="16.5">
      <c r="C1596" s="101"/>
      <c r="D1596" s="101"/>
      <c r="E1596" s="101"/>
      <c r="F1596" s="101"/>
      <c r="G1596" s="101"/>
      <c r="H1596" s="101"/>
      <c r="I1596" s="101"/>
      <c r="J1596" s="101"/>
    </row>
    <row r="1597" spans="3:10" ht="16.5">
      <c r="C1597" s="101"/>
      <c r="D1597" s="101"/>
      <c r="E1597" s="101"/>
      <c r="F1597" s="101"/>
      <c r="G1597" s="101"/>
      <c r="H1597" s="101"/>
      <c r="I1597" s="101"/>
      <c r="J1597" s="101"/>
    </row>
    <row r="1598" spans="3:10" ht="16.5">
      <c r="C1598" s="101"/>
      <c r="D1598" s="101"/>
      <c r="E1598" s="101"/>
      <c r="F1598" s="101"/>
      <c r="G1598" s="101"/>
      <c r="H1598" s="101"/>
      <c r="I1598" s="101"/>
      <c r="J1598" s="101"/>
    </row>
    <row r="1599" spans="3:10" ht="16.5">
      <c r="C1599" s="101"/>
      <c r="D1599" s="101"/>
      <c r="E1599" s="101"/>
      <c r="F1599" s="101"/>
      <c r="G1599" s="101"/>
      <c r="H1599" s="101"/>
      <c r="I1599" s="101"/>
      <c r="J1599" s="101"/>
    </row>
    <row r="1600" spans="3:10" ht="16.5">
      <c r="C1600" s="101"/>
      <c r="D1600" s="101"/>
      <c r="E1600" s="101"/>
      <c r="F1600" s="101"/>
      <c r="G1600" s="101"/>
      <c r="H1600" s="101"/>
      <c r="I1600" s="101"/>
      <c r="J1600" s="101"/>
    </row>
    <row r="1601" spans="3:10" ht="16.5">
      <c r="C1601" s="101"/>
      <c r="D1601" s="101"/>
      <c r="E1601" s="101"/>
      <c r="F1601" s="101"/>
      <c r="G1601" s="101"/>
      <c r="H1601" s="101"/>
      <c r="I1601" s="101"/>
      <c r="J1601" s="101"/>
    </row>
    <row r="1602" spans="3:10" ht="16.5">
      <c r="C1602" s="101"/>
      <c r="D1602" s="101"/>
      <c r="E1602" s="101"/>
      <c r="F1602" s="101"/>
      <c r="G1602" s="101"/>
      <c r="H1602" s="101"/>
      <c r="I1602" s="101"/>
      <c r="J1602" s="101"/>
    </row>
    <row r="1603" spans="3:10" ht="16.5">
      <c r="C1603" s="101"/>
      <c r="D1603" s="101"/>
      <c r="E1603" s="101"/>
      <c r="F1603" s="101"/>
      <c r="G1603" s="101"/>
      <c r="H1603" s="101"/>
      <c r="I1603" s="101"/>
      <c r="J1603" s="101"/>
    </row>
    <row r="1604" spans="3:10" ht="16.5">
      <c r="C1604" s="101"/>
      <c r="D1604" s="101"/>
      <c r="E1604" s="101"/>
      <c r="F1604" s="101"/>
      <c r="G1604" s="101"/>
      <c r="H1604" s="101"/>
      <c r="I1604" s="101"/>
      <c r="J1604" s="101"/>
    </row>
    <row r="1605" spans="3:10" ht="16.5">
      <c r="C1605" s="101"/>
      <c r="D1605" s="101"/>
      <c r="E1605" s="101"/>
      <c r="F1605" s="101"/>
      <c r="G1605" s="101"/>
      <c r="H1605" s="101"/>
      <c r="I1605" s="101"/>
      <c r="J1605" s="101"/>
    </row>
    <row r="1606" spans="3:10" ht="16.5">
      <c r="C1606" s="101"/>
      <c r="D1606" s="101"/>
      <c r="E1606" s="101"/>
      <c r="F1606" s="101"/>
      <c r="G1606" s="101"/>
      <c r="H1606" s="101"/>
      <c r="I1606" s="101"/>
      <c r="J1606" s="101"/>
    </row>
    <row r="1607" spans="3:10" ht="16.5">
      <c r="C1607" s="101"/>
      <c r="D1607" s="101"/>
      <c r="E1607" s="101"/>
      <c r="F1607" s="101"/>
      <c r="G1607" s="101"/>
      <c r="H1607" s="101"/>
      <c r="I1607" s="101"/>
      <c r="J1607" s="101"/>
    </row>
    <row r="1608" spans="3:10" ht="16.5">
      <c r="C1608" s="101"/>
      <c r="D1608" s="101"/>
      <c r="E1608" s="101"/>
      <c r="F1608" s="101"/>
      <c r="G1608" s="101"/>
      <c r="H1608" s="101"/>
      <c r="I1608" s="101"/>
      <c r="J1608" s="101"/>
    </row>
    <row r="1609" spans="3:10" ht="16.5">
      <c r="C1609" s="101"/>
      <c r="D1609" s="101"/>
      <c r="E1609" s="101"/>
      <c r="F1609" s="101"/>
      <c r="G1609" s="101"/>
      <c r="H1609" s="101"/>
      <c r="I1609" s="101"/>
      <c r="J1609" s="101"/>
    </row>
    <row r="1610" spans="3:10" ht="16.5">
      <c r="C1610" s="101"/>
      <c r="D1610" s="101"/>
      <c r="E1610" s="101"/>
      <c r="F1610" s="101"/>
      <c r="G1610" s="101"/>
      <c r="H1610" s="101"/>
      <c r="I1610" s="101"/>
      <c r="J1610" s="101"/>
    </row>
    <row r="1611" spans="3:10" ht="16.5">
      <c r="C1611" s="101"/>
      <c r="D1611" s="101"/>
      <c r="E1611" s="101"/>
      <c r="F1611" s="101"/>
      <c r="G1611" s="101"/>
      <c r="H1611" s="101"/>
      <c r="I1611" s="101"/>
      <c r="J1611" s="101"/>
    </row>
    <row r="1612" spans="3:10" ht="16.5">
      <c r="C1612" s="101"/>
      <c r="D1612" s="101"/>
      <c r="E1612" s="101"/>
      <c r="F1612" s="101"/>
      <c r="G1612" s="101"/>
      <c r="H1612" s="101"/>
      <c r="I1612" s="101"/>
      <c r="J1612" s="101"/>
    </row>
    <row r="1613" spans="3:10" ht="16.5">
      <c r="C1613" s="101"/>
      <c r="D1613" s="101"/>
      <c r="E1613" s="101"/>
      <c r="F1613" s="101"/>
      <c r="G1613" s="101"/>
      <c r="H1613" s="101"/>
      <c r="I1613" s="101"/>
      <c r="J1613" s="101"/>
    </row>
    <row r="1614" spans="3:10" ht="16.5">
      <c r="C1614" s="101"/>
      <c r="D1614" s="101"/>
      <c r="E1614" s="101"/>
      <c r="F1614" s="101"/>
      <c r="G1614" s="101"/>
      <c r="H1614" s="101"/>
      <c r="I1614" s="101"/>
      <c r="J1614" s="101"/>
    </row>
    <row r="1615" spans="3:10" ht="16.5">
      <c r="C1615" s="101"/>
      <c r="D1615" s="101"/>
      <c r="E1615" s="101"/>
      <c r="F1615" s="101"/>
      <c r="G1615" s="101"/>
      <c r="H1615" s="101"/>
      <c r="I1615" s="101"/>
      <c r="J1615" s="101"/>
    </row>
    <row r="1616" spans="3:10" ht="16.5">
      <c r="C1616" s="101"/>
      <c r="D1616" s="101"/>
      <c r="E1616" s="101"/>
      <c r="F1616" s="101"/>
      <c r="G1616" s="101"/>
      <c r="H1616" s="101"/>
      <c r="I1616" s="101"/>
      <c r="J1616" s="101"/>
    </row>
    <row r="1617" spans="3:10" ht="16.5">
      <c r="C1617" s="101"/>
      <c r="D1617" s="101"/>
      <c r="E1617" s="101"/>
      <c r="F1617" s="101"/>
      <c r="G1617" s="101"/>
      <c r="H1617" s="101"/>
      <c r="I1617" s="101"/>
      <c r="J1617" s="101"/>
    </row>
    <row r="1618" spans="3:10" ht="16.5">
      <c r="C1618" s="101"/>
      <c r="D1618" s="101"/>
      <c r="E1618" s="101"/>
      <c r="F1618" s="101"/>
      <c r="G1618" s="101"/>
      <c r="H1618" s="101"/>
      <c r="I1618" s="101"/>
      <c r="J1618" s="101"/>
    </row>
    <row r="1619" spans="3:10" ht="16.5">
      <c r="C1619" s="101"/>
      <c r="D1619" s="101"/>
      <c r="E1619" s="101"/>
      <c r="F1619" s="101"/>
      <c r="G1619" s="101"/>
      <c r="H1619" s="101"/>
      <c r="I1619" s="101"/>
      <c r="J1619" s="101"/>
    </row>
    <row r="1620" spans="3:10" ht="16.5">
      <c r="C1620" s="101"/>
      <c r="D1620" s="101"/>
      <c r="E1620" s="101"/>
      <c r="F1620" s="101"/>
      <c r="G1620" s="101"/>
      <c r="H1620" s="101"/>
      <c r="I1620" s="101"/>
      <c r="J1620" s="101"/>
    </row>
    <row r="1621" spans="3:10" ht="16.5">
      <c r="C1621" s="101"/>
      <c r="D1621" s="101"/>
      <c r="E1621" s="101"/>
      <c r="F1621" s="101"/>
      <c r="G1621" s="101"/>
      <c r="H1621" s="101"/>
      <c r="I1621" s="101"/>
      <c r="J1621" s="101"/>
    </row>
    <row r="1622" spans="3:10" ht="16.5">
      <c r="C1622" s="101"/>
      <c r="D1622" s="101"/>
      <c r="E1622" s="101"/>
      <c r="F1622" s="101"/>
      <c r="G1622" s="101"/>
      <c r="H1622" s="101"/>
      <c r="I1622" s="101"/>
      <c r="J1622" s="101"/>
    </row>
    <row r="1623" spans="3:10" ht="16.5">
      <c r="C1623" s="101"/>
      <c r="D1623" s="101"/>
      <c r="E1623" s="101"/>
      <c r="F1623" s="101"/>
      <c r="G1623" s="101"/>
      <c r="H1623" s="101"/>
      <c r="I1623" s="101"/>
      <c r="J1623" s="101"/>
    </row>
    <row r="1624" spans="3:10" ht="16.5">
      <c r="C1624" s="101"/>
      <c r="D1624" s="101"/>
      <c r="E1624" s="101"/>
      <c r="F1624" s="101"/>
      <c r="G1624" s="101"/>
      <c r="H1624" s="101"/>
      <c r="I1624" s="101"/>
      <c r="J1624" s="101"/>
    </row>
    <row r="1625" spans="3:10" ht="16.5">
      <c r="C1625" s="101"/>
      <c r="D1625" s="101"/>
      <c r="E1625" s="101"/>
      <c r="F1625" s="101"/>
      <c r="G1625" s="101"/>
      <c r="H1625" s="101"/>
      <c r="I1625" s="101"/>
      <c r="J1625" s="101"/>
    </row>
    <row r="1626" spans="3:10" ht="16.5">
      <c r="C1626" s="101"/>
      <c r="D1626" s="101"/>
      <c r="E1626" s="101"/>
      <c r="F1626" s="101"/>
      <c r="G1626" s="101"/>
      <c r="H1626" s="101"/>
      <c r="I1626" s="101"/>
      <c r="J1626" s="101"/>
    </row>
    <row r="1627" spans="3:10" ht="16.5">
      <c r="C1627" s="101"/>
      <c r="D1627" s="101"/>
      <c r="E1627" s="101"/>
      <c r="F1627" s="101"/>
      <c r="G1627" s="101"/>
      <c r="H1627" s="101"/>
      <c r="I1627" s="101"/>
      <c r="J1627" s="101"/>
    </row>
    <row r="1628" spans="3:10" ht="16.5">
      <c r="C1628" s="101"/>
      <c r="D1628" s="101"/>
      <c r="E1628" s="101"/>
      <c r="F1628" s="101"/>
      <c r="G1628" s="101"/>
      <c r="H1628" s="101"/>
      <c r="I1628" s="101"/>
      <c r="J1628" s="101"/>
    </row>
    <row r="1629" spans="3:10" ht="16.5">
      <c r="C1629" s="101"/>
      <c r="D1629" s="101"/>
      <c r="E1629" s="101"/>
      <c r="F1629" s="101"/>
      <c r="G1629" s="101"/>
      <c r="H1629" s="101"/>
      <c r="I1629" s="101"/>
      <c r="J1629" s="101"/>
    </row>
    <row r="1630" spans="3:10" ht="16.5">
      <c r="C1630" s="101"/>
      <c r="D1630" s="101"/>
      <c r="E1630" s="101"/>
      <c r="F1630" s="101"/>
      <c r="G1630" s="101"/>
      <c r="H1630" s="101"/>
      <c r="I1630" s="101"/>
      <c r="J1630" s="101"/>
    </row>
    <row r="1631" spans="3:10" ht="16.5">
      <c r="C1631" s="101"/>
      <c r="D1631" s="101"/>
      <c r="E1631" s="101"/>
      <c r="F1631" s="101"/>
      <c r="G1631" s="101"/>
      <c r="H1631" s="101"/>
      <c r="I1631" s="101"/>
      <c r="J1631" s="101"/>
    </row>
    <row r="1632" spans="3:10" ht="16.5">
      <c r="C1632" s="101"/>
      <c r="D1632" s="101"/>
      <c r="E1632" s="101"/>
      <c r="F1632" s="101"/>
      <c r="G1632" s="101"/>
      <c r="H1632" s="101"/>
      <c r="I1632" s="101"/>
      <c r="J1632" s="101"/>
    </row>
    <row r="1633" spans="3:10" ht="16.5">
      <c r="C1633" s="101"/>
      <c r="D1633" s="101"/>
      <c r="E1633" s="101"/>
      <c r="F1633" s="101"/>
      <c r="G1633" s="101"/>
      <c r="H1633" s="101"/>
      <c r="I1633" s="101"/>
      <c r="J1633" s="101"/>
    </row>
    <row r="1634" spans="3:10" ht="16.5">
      <c r="C1634" s="101"/>
      <c r="D1634" s="101"/>
      <c r="E1634" s="101"/>
      <c r="F1634" s="101"/>
      <c r="G1634" s="101"/>
      <c r="H1634" s="101"/>
      <c r="I1634" s="101"/>
      <c r="J1634" s="101"/>
    </row>
    <row r="1635" spans="3:10" ht="16.5">
      <c r="C1635" s="101"/>
      <c r="D1635" s="101"/>
      <c r="E1635" s="101"/>
      <c r="F1635" s="101"/>
      <c r="G1635" s="101"/>
      <c r="H1635" s="101"/>
      <c r="I1635" s="101"/>
      <c r="J1635" s="101"/>
    </row>
    <row r="1636" spans="3:10" ht="16.5">
      <c r="C1636" s="101"/>
      <c r="D1636" s="101"/>
      <c r="E1636" s="101"/>
      <c r="F1636" s="101"/>
      <c r="G1636" s="101"/>
      <c r="H1636" s="101"/>
      <c r="I1636" s="101"/>
      <c r="J1636" s="101"/>
    </row>
    <row r="1637" spans="3:10" ht="16.5">
      <c r="C1637" s="101"/>
      <c r="D1637" s="101"/>
      <c r="E1637" s="101"/>
      <c r="F1637" s="101"/>
      <c r="G1637" s="101"/>
      <c r="H1637" s="101"/>
      <c r="I1637" s="101"/>
      <c r="J1637" s="101"/>
    </row>
    <row r="1638" spans="3:10" ht="16.5">
      <c r="C1638" s="101"/>
      <c r="D1638" s="101"/>
      <c r="E1638" s="101"/>
      <c r="F1638" s="101"/>
      <c r="G1638" s="101"/>
      <c r="H1638" s="101"/>
      <c r="I1638" s="101"/>
      <c r="J1638" s="101"/>
    </row>
    <row r="1639" spans="3:10" ht="16.5">
      <c r="C1639" s="101"/>
      <c r="D1639" s="101"/>
      <c r="E1639" s="101"/>
      <c r="F1639" s="101"/>
      <c r="G1639" s="101"/>
      <c r="H1639" s="101"/>
      <c r="I1639" s="101"/>
      <c r="J1639" s="101"/>
    </row>
    <row r="1640" spans="3:10" ht="16.5">
      <c r="C1640" s="101"/>
      <c r="D1640" s="101"/>
      <c r="E1640" s="101"/>
      <c r="F1640" s="101"/>
      <c r="G1640" s="101"/>
      <c r="H1640" s="101"/>
      <c r="I1640" s="101"/>
      <c r="J1640" s="101"/>
    </row>
    <row r="1641" spans="3:10" ht="16.5">
      <c r="C1641" s="101"/>
      <c r="D1641" s="101"/>
      <c r="E1641" s="101"/>
      <c r="F1641" s="101"/>
      <c r="G1641" s="101"/>
      <c r="H1641" s="101"/>
      <c r="I1641" s="101"/>
      <c r="J1641" s="101"/>
    </row>
    <row r="1642" spans="3:10" ht="16.5">
      <c r="C1642" s="101"/>
      <c r="D1642" s="101"/>
      <c r="E1642" s="101"/>
      <c r="F1642" s="101"/>
      <c r="G1642" s="101"/>
      <c r="H1642" s="101"/>
      <c r="I1642" s="101"/>
      <c r="J1642" s="101"/>
    </row>
    <row r="1643" spans="3:10" ht="16.5">
      <c r="C1643" s="101"/>
      <c r="D1643" s="101"/>
      <c r="E1643" s="101"/>
      <c r="F1643" s="101"/>
      <c r="G1643" s="101"/>
      <c r="H1643" s="101"/>
      <c r="I1643" s="101"/>
      <c r="J1643" s="101"/>
    </row>
    <row r="1644" spans="3:10" ht="16.5">
      <c r="C1644" s="101"/>
      <c r="D1644" s="101"/>
      <c r="E1644" s="101"/>
      <c r="F1644" s="101"/>
      <c r="G1644" s="101"/>
      <c r="H1644" s="101"/>
      <c r="I1644" s="101"/>
      <c r="J1644" s="101"/>
    </row>
    <row r="1645" spans="3:10" ht="16.5">
      <c r="C1645" s="101"/>
      <c r="D1645" s="101"/>
      <c r="E1645" s="101"/>
      <c r="F1645" s="101"/>
      <c r="G1645" s="101"/>
      <c r="H1645" s="101"/>
      <c r="I1645" s="101"/>
      <c r="J1645" s="101"/>
    </row>
    <row r="1646" spans="3:10" ht="16.5">
      <c r="C1646" s="101"/>
      <c r="D1646" s="101"/>
      <c r="E1646" s="101"/>
      <c r="F1646" s="101"/>
      <c r="G1646" s="101"/>
      <c r="H1646" s="101"/>
      <c r="I1646" s="101"/>
      <c r="J1646" s="101"/>
    </row>
    <row r="1647" spans="3:10" ht="16.5">
      <c r="C1647" s="101"/>
      <c r="D1647" s="101"/>
      <c r="E1647" s="101"/>
      <c r="F1647" s="101"/>
      <c r="G1647" s="101"/>
      <c r="H1647" s="101"/>
      <c r="I1647" s="101"/>
      <c r="J1647" s="101"/>
    </row>
    <row r="1648" spans="3:10" ht="16.5">
      <c r="C1648" s="101"/>
      <c r="D1648" s="101"/>
      <c r="E1648" s="101"/>
      <c r="F1648" s="101"/>
      <c r="G1648" s="101"/>
      <c r="H1648" s="101"/>
      <c r="I1648" s="101"/>
      <c r="J1648" s="101"/>
    </row>
    <row r="1649" spans="3:10" ht="16.5">
      <c r="C1649" s="101"/>
      <c r="D1649" s="101"/>
      <c r="E1649" s="101"/>
      <c r="F1649" s="101"/>
      <c r="G1649" s="101"/>
      <c r="H1649" s="101"/>
      <c r="I1649" s="101"/>
      <c r="J1649" s="101"/>
    </row>
    <row r="1650" spans="3:10" ht="16.5">
      <c r="C1650" s="101"/>
      <c r="D1650" s="101"/>
      <c r="E1650" s="101"/>
      <c r="F1650" s="101"/>
      <c r="G1650" s="101"/>
      <c r="H1650" s="101"/>
      <c r="I1650" s="101"/>
      <c r="J1650" s="101"/>
    </row>
    <row r="1651" spans="3:10" ht="16.5">
      <c r="C1651" s="101"/>
      <c r="D1651" s="101"/>
      <c r="E1651" s="101"/>
      <c r="F1651" s="101"/>
      <c r="G1651" s="101"/>
      <c r="H1651" s="101"/>
      <c r="I1651" s="101"/>
      <c r="J1651" s="101"/>
    </row>
    <row r="1652" spans="3:10" ht="16.5">
      <c r="C1652" s="101"/>
      <c r="D1652" s="101"/>
      <c r="E1652" s="101"/>
      <c r="F1652" s="101"/>
      <c r="G1652" s="101"/>
      <c r="H1652" s="101"/>
      <c r="I1652" s="101"/>
      <c r="J1652" s="101"/>
    </row>
    <row r="1653" spans="3:10" ht="16.5">
      <c r="C1653" s="101"/>
      <c r="D1653" s="101"/>
      <c r="E1653" s="101"/>
      <c r="F1653" s="101"/>
      <c r="G1653" s="101"/>
      <c r="H1653" s="101"/>
      <c r="I1653" s="101"/>
      <c r="J1653" s="101"/>
    </row>
    <row r="1654" spans="3:10" ht="16.5">
      <c r="C1654" s="101"/>
      <c r="D1654" s="101"/>
      <c r="E1654" s="101"/>
      <c r="F1654" s="101"/>
      <c r="G1654" s="101"/>
      <c r="H1654" s="101"/>
      <c r="I1654" s="101"/>
      <c r="J1654" s="101"/>
    </row>
    <row r="1655" spans="3:10" ht="16.5">
      <c r="C1655" s="101"/>
      <c r="D1655" s="101"/>
      <c r="E1655" s="101"/>
      <c r="F1655" s="101"/>
      <c r="G1655" s="101"/>
      <c r="H1655" s="101"/>
      <c r="I1655" s="101"/>
      <c r="J1655" s="101"/>
    </row>
    <row r="1656" spans="3:10" ht="16.5">
      <c r="C1656" s="101"/>
      <c r="D1656" s="101"/>
      <c r="E1656" s="101"/>
      <c r="F1656" s="101"/>
      <c r="G1656" s="101"/>
      <c r="H1656" s="101"/>
      <c r="I1656" s="101"/>
      <c r="J1656" s="101"/>
    </row>
    <row r="1657" spans="3:10" ht="16.5">
      <c r="C1657" s="101"/>
      <c r="D1657" s="101"/>
      <c r="E1657" s="101"/>
      <c r="F1657" s="101"/>
      <c r="G1657" s="101"/>
      <c r="H1657" s="101"/>
      <c r="I1657" s="101"/>
      <c r="J1657" s="101"/>
    </row>
    <row r="1658" spans="3:10" ht="16.5">
      <c r="C1658" s="101"/>
      <c r="D1658" s="101"/>
      <c r="E1658" s="101"/>
      <c r="F1658" s="101"/>
      <c r="G1658" s="101"/>
      <c r="H1658" s="101"/>
      <c r="I1658" s="101"/>
      <c r="J1658" s="101"/>
    </row>
    <row r="1659" spans="3:10" ht="16.5">
      <c r="C1659" s="101"/>
      <c r="D1659" s="101"/>
      <c r="E1659" s="101"/>
      <c r="F1659" s="101"/>
      <c r="G1659" s="101"/>
      <c r="H1659" s="101"/>
      <c r="I1659" s="101"/>
      <c r="J1659" s="101"/>
    </row>
    <row r="1660" spans="3:10" ht="16.5">
      <c r="C1660" s="101"/>
      <c r="D1660" s="101"/>
      <c r="E1660" s="101"/>
      <c r="F1660" s="101"/>
      <c r="G1660" s="101"/>
      <c r="H1660" s="101"/>
      <c r="I1660" s="101"/>
      <c r="J1660" s="101"/>
    </row>
    <row r="1661" spans="3:10" ht="16.5">
      <c r="C1661" s="101"/>
      <c r="D1661" s="101"/>
      <c r="E1661" s="101"/>
      <c r="F1661" s="101"/>
      <c r="G1661" s="101"/>
      <c r="H1661" s="101"/>
      <c r="I1661" s="101"/>
      <c r="J1661" s="101"/>
    </row>
  </sheetData>
  <sheetProtection/>
  <mergeCells count="2">
    <mergeCell ref="A2:L2"/>
    <mergeCell ref="I4:K4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B1667"/>
  <sheetViews>
    <sheetView zoomScale="80" zoomScaleNormal="80" zoomScalePageLayoutView="0" workbookViewId="0" topLeftCell="A1">
      <pane xSplit="18" ySplit="5" topLeftCell="S50" activePane="bottomRight" state="frozen"/>
      <selection pane="topLeft" activeCell="A1" sqref="A1"/>
      <selection pane="topRight" activeCell="S1" sqref="S1"/>
      <selection pane="bottomLeft" activeCell="A6" sqref="A6"/>
      <selection pane="bottomRight" activeCell="AA140" sqref="AA140"/>
    </sheetView>
  </sheetViews>
  <sheetFormatPr defaultColWidth="9.140625" defaultRowHeight="12.75"/>
  <cols>
    <col min="1" max="1" width="6.8515625" style="27" customWidth="1"/>
    <col min="2" max="2" width="53.57421875" style="8" customWidth="1"/>
    <col min="3" max="3" width="15.28125" style="8" hidden="1" customWidth="1"/>
    <col min="4" max="4" width="16.140625" style="8" hidden="1" customWidth="1"/>
    <col min="5" max="5" width="14.140625" style="8" hidden="1" customWidth="1"/>
    <col min="6" max="9" width="16.140625" style="8" hidden="1" customWidth="1"/>
    <col min="10" max="10" width="1.28515625" style="8" hidden="1" customWidth="1"/>
    <col min="11" max="11" width="15.140625" style="2" hidden="1" customWidth="1"/>
    <col min="12" max="12" width="14.7109375" style="2" hidden="1" customWidth="1"/>
    <col min="13" max="17" width="0" style="3" hidden="1" customWidth="1"/>
    <col min="18" max="18" width="11.421875" style="71" hidden="1" customWidth="1"/>
    <col min="19" max="19" width="16.57421875" style="8" customWidth="1"/>
    <col min="20" max="20" width="13.7109375" style="2" customWidth="1"/>
    <col min="21" max="21" width="12.421875" style="2" customWidth="1"/>
    <col min="22" max="22" width="13.57421875" style="2" customWidth="1"/>
    <col min="23" max="23" width="14.00390625" style="2" customWidth="1"/>
    <col min="24" max="24" width="16.421875" style="2" customWidth="1"/>
    <col min="25" max="25" width="14.140625" style="2" customWidth="1"/>
    <col min="26" max="26" width="15.00390625" style="249" customWidth="1"/>
    <col min="27" max="27" width="16.00390625" style="2" customWidth="1"/>
    <col min="28" max="28" width="15.57421875" style="2" customWidth="1"/>
    <col min="29" max="16384" width="9.140625" style="3" customWidth="1"/>
  </cols>
  <sheetData>
    <row r="2" spans="1:28" s="1" customFormat="1" ht="19.5">
      <c r="A2" s="288" t="s">
        <v>388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</row>
    <row r="4" spans="3:28" ht="16.5">
      <c r="C4" s="289">
        <v>2016</v>
      </c>
      <c r="D4" s="289"/>
      <c r="E4" s="289"/>
      <c r="F4" s="289"/>
      <c r="G4" s="289"/>
      <c r="H4" s="289"/>
      <c r="I4" s="289"/>
      <c r="J4" s="289"/>
      <c r="K4" s="289"/>
      <c r="L4" s="289"/>
      <c r="AB4" s="72" t="s">
        <v>3</v>
      </c>
    </row>
    <row r="5" spans="1:28" s="5" customFormat="1" ht="77.25" customHeight="1">
      <c r="A5" s="4" t="s">
        <v>224</v>
      </c>
      <c r="B5" s="4" t="s">
        <v>389</v>
      </c>
      <c r="C5" s="73" t="s">
        <v>225</v>
      </c>
      <c r="D5" s="73" t="s">
        <v>235</v>
      </c>
      <c r="E5" s="73" t="s">
        <v>236</v>
      </c>
      <c r="F5" s="73" t="s">
        <v>237</v>
      </c>
      <c r="G5" s="73" t="s">
        <v>238</v>
      </c>
      <c r="H5" s="73" t="s">
        <v>239</v>
      </c>
      <c r="I5" s="73" t="s">
        <v>240</v>
      </c>
      <c r="J5" s="73" t="s">
        <v>241</v>
      </c>
      <c r="K5" s="4" t="s">
        <v>226</v>
      </c>
      <c r="L5" s="56" t="s">
        <v>242</v>
      </c>
      <c r="R5" s="74"/>
      <c r="S5" s="85" t="s">
        <v>225</v>
      </c>
      <c r="T5" s="85" t="s">
        <v>235</v>
      </c>
      <c r="U5" s="85" t="s">
        <v>236</v>
      </c>
      <c r="V5" s="85" t="s">
        <v>237</v>
      </c>
      <c r="W5" s="85" t="s">
        <v>238</v>
      </c>
      <c r="X5" s="85" t="s">
        <v>239</v>
      </c>
      <c r="Y5" s="85" t="s">
        <v>240</v>
      </c>
      <c r="Z5" s="246" t="s">
        <v>241</v>
      </c>
      <c r="AA5" s="4" t="s">
        <v>226</v>
      </c>
      <c r="AB5" s="56" t="s">
        <v>242</v>
      </c>
    </row>
    <row r="6" spans="1:28" s="5" customFormat="1" ht="16.5">
      <c r="A6" s="4"/>
      <c r="B6" s="4"/>
      <c r="C6" s="73"/>
      <c r="D6" s="73"/>
      <c r="E6" s="73"/>
      <c r="F6" s="73"/>
      <c r="G6" s="73"/>
      <c r="H6" s="73"/>
      <c r="I6" s="73"/>
      <c r="J6" s="73"/>
      <c r="K6" s="4"/>
      <c r="L6" s="4"/>
      <c r="R6" s="74"/>
      <c r="S6" s="73"/>
      <c r="T6" s="73"/>
      <c r="U6" s="73"/>
      <c r="V6" s="73"/>
      <c r="W6" s="73"/>
      <c r="X6" s="73"/>
      <c r="Y6" s="73"/>
      <c r="Z6" s="247"/>
      <c r="AA6" s="4"/>
      <c r="AB6" s="4"/>
    </row>
    <row r="7" spans="1:28" s="25" customFormat="1" ht="24" customHeight="1">
      <c r="A7" s="228" t="s">
        <v>61</v>
      </c>
      <c r="B7" s="229" t="s">
        <v>62</v>
      </c>
      <c r="C7" s="85">
        <f aca="true" t="shared" si="0" ref="C7:K7">C8+C9+C10+C13+C17+C18+C19</f>
        <v>36799.5</v>
      </c>
      <c r="D7" s="85">
        <f t="shared" si="0"/>
        <v>1236.4</v>
      </c>
      <c r="E7" s="85">
        <f t="shared" si="0"/>
        <v>2077.3</v>
      </c>
      <c r="F7" s="85">
        <f t="shared" si="0"/>
        <v>2332.6</v>
      </c>
      <c r="G7" s="85">
        <f t="shared" si="0"/>
        <v>1704.4</v>
      </c>
      <c r="H7" s="85">
        <f t="shared" si="0"/>
        <v>2393.2</v>
      </c>
      <c r="I7" s="85">
        <f t="shared" si="0"/>
        <v>2010.3000000000002</v>
      </c>
      <c r="J7" s="85">
        <f t="shared" si="0"/>
        <v>2410.4</v>
      </c>
      <c r="K7" s="85">
        <f t="shared" si="0"/>
        <v>14153.2</v>
      </c>
      <c r="L7" s="85">
        <f>C7+K7-K15-K29</f>
        <v>50862</v>
      </c>
      <c r="M7" s="230"/>
      <c r="N7" s="230"/>
      <c r="O7" s="230"/>
      <c r="P7" s="230"/>
      <c r="Q7" s="230"/>
      <c r="R7" s="231">
        <f>L9+L10+L13+L17+L18+L19</f>
        <v>50862</v>
      </c>
      <c r="S7" s="85">
        <f>S8+S9+S10+S13+S17+S18+S19</f>
        <v>50695.7</v>
      </c>
      <c r="T7" s="85">
        <f>T8+T9+T10+T13+T17+T18+T19</f>
        <v>3416.3999999999996</v>
      </c>
      <c r="U7" s="85">
        <f aca="true" t="shared" si="1" ref="U7:Z7">U8+U9+U10+U13+U17+U18+U19</f>
        <v>2863.5</v>
      </c>
      <c r="V7" s="85">
        <f t="shared" si="1"/>
        <v>2553.5</v>
      </c>
      <c r="W7" s="85">
        <f t="shared" si="1"/>
        <v>1231.4</v>
      </c>
      <c r="X7" s="85">
        <f t="shared" si="1"/>
        <v>3004.2999999999997</v>
      </c>
      <c r="Y7" s="85">
        <f t="shared" si="1"/>
        <v>2239.2999999999997</v>
      </c>
      <c r="Z7" s="246">
        <f t="shared" si="1"/>
        <v>2268</v>
      </c>
      <c r="AA7" s="85">
        <f>AA8+AA9+AA10+AA13+AA17+AA18+AA19</f>
        <v>16076.4</v>
      </c>
      <c r="AB7" s="85">
        <f>S7+AA7-AA15-AA29</f>
        <v>66581.09999999999</v>
      </c>
    </row>
    <row r="8" spans="1:28" ht="33">
      <c r="A8" s="59" t="s">
        <v>63</v>
      </c>
      <c r="B8" s="63" t="s">
        <v>336</v>
      </c>
      <c r="C8" s="77">
        <f>0</f>
        <v>0</v>
      </c>
      <c r="D8" s="78"/>
      <c r="E8" s="78"/>
      <c r="F8" s="78"/>
      <c r="G8" s="78"/>
      <c r="H8" s="78"/>
      <c r="I8" s="78"/>
      <c r="J8" s="78"/>
      <c r="K8" s="77">
        <f>0</f>
        <v>0</v>
      </c>
      <c r="L8" s="77">
        <f aca="true" t="shared" si="2" ref="L8:L82">C8+K8</f>
        <v>0</v>
      </c>
      <c r="S8" s="77">
        <f>1619.3</f>
        <v>1619.3</v>
      </c>
      <c r="T8" s="73"/>
      <c r="U8" s="73"/>
      <c r="V8" s="73"/>
      <c r="W8" s="73"/>
      <c r="X8" s="73"/>
      <c r="Y8" s="73"/>
      <c r="Z8" s="247"/>
      <c r="AA8" s="77">
        <f aca="true" t="shared" si="3" ref="AA8:AA15">SUM(T8:Z8)</f>
        <v>0</v>
      </c>
      <c r="AB8" s="77">
        <f>S8+AA8</f>
        <v>1619.3</v>
      </c>
    </row>
    <row r="9" spans="1:28" ht="16.5">
      <c r="A9" s="59" t="s">
        <v>65</v>
      </c>
      <c r="B9" s="63" t="s">
        <v>243</v>
      </c>
      <c r="C9" s="77">
        <v>657</v>
      </c>
      <c r="D9" s="78">
        <v>910.8</v>
      </c>
      <c r="E9" s="78">
        <v>0</v>
      </c>
      <c r="F9" s="78"/>
      <c r="G9" s="78"/>
      <c r="H9" s="78"/>
      <c r="I9" s="78"/>
      <c r="J9" s="78"/>
      <c r="K9" s="77">
        <v>881</v>
      </c>
      <c r="L9" s="77">
        <f t="shared" si="2"/>
        <v>1538</v>
      </c>
      <c r="R9" s="79"/>
      <c r="S9" s="77">
        <f>0</f>
        <v>0</v>
      </c>
      <c r="T9" s="73">
        <f>0</f>
        <v>0</v>
      </c>
      <c r="U9" s="73">
        <v>0</v>
      </c>
      <c r="V9" s="73"/>
      <c r="W9" s="73"/>
      <c r="X9" s="73"/>
      <c r="Y9" s="73"/>
      <c r="Z9" s="247"/>
      <c r="AA9" s="77">
        <f t="shared" si="3"/>
        <v>0</v>
      </c>
      <c r="AB9" s="77">
        <f>S9+AA9</f>
        <v>0</v>
      </c>
    </row>
    <row r="10" spans="1:28" ht="16.5">
      <c r="A10" s="59" t="s">
        <v>67</v>
      </c>
      <c r="B10" s="63" t="s">
        <v>337</v>
      </c>
      <c r="C10" s="77">
        <f>C11+C12</f>
        <v>18620.7</v>
      </c>
      <c r="D10" s="77">
        <f aca="true" t="shared" si="4" ref="D10:K10">D11+D12</f>
        <v>0</v>
      </c>
      <c r="E10" s="77">
        <f t="shared" si="4"/>
        <v>2062.9</v>
      </c>
      <c r="F10" s="77">
        <f t="shared" si="4"/>
        <v>2318.2</v>
      </c>
      <c r="G10" s="77">
        <f t="shared" si="4"/>
        <v>1689.9</v>
      </c>
      <c r="H10" s="77">
        <f t="shared" si="4"/>
        <v>2378</v>
      </c>
      <c r="I10" s="77">
        <f t="shared" si="4"/>
        <v>1995.9</v>
      </c>
      <c r="J10" s="77">
        <f t="shared" si="4"/>
        <v>2396</v>
      </c>
      <c r="K10" s="77">
        <f t="shared" si="4"/>
        <v>12336.4</v>
      </c>
      <c r="L10" s="77">
        <f t="shared" si="2"/>
        <v>30957.1</v>
      </c>
      <c r="S10" s="77">
        <f>S11+S12</f>
        <v>24837.1</v>
      </c>
      <c r="T10" s="73">
        <f aca="true" t="shared" si="5" ref="T10:Z10">T11+T12</f>
        <v>0</v>
      </c>
      <c r="U10" s="73">
        <f t="shared" si="5"/>
        <v>2773.8</v>
      </c>
      <c r="V10" s="73">
        <f t="shared" si="5"/>
        <v>2484.1</v>
      </c>
      <c r="W10" s="73">
        <f t="shared" si="5"/>
        <v>1171.9</v>
      </c>
      <c r="X10" s="73">
        <f t="shared" si="5"/>
        <v>2931.1</v>
      </c>
      <c r="Y10" s="73">
        <f t="shared" si="5"/>
        <v>2176.1</v>
      </c>
      <c r="Z10" s="247">
        <f t="shared" si="5"/>
        <v>2203.3</v>
      </c>
      <c r="AA10" s="77">
        <f t="shared" si="3"/>
        <v>13740.3</v>
      </c>
      <c r="AB10" s="77">
        <f>S10+AA10</f>
        <v>38577.399999999994</v>
      </c>
    </row>
    <row r="11" spans="1:28" ht="16.5">
      <c r="A11" s="59"/>
      <c r="B11" s="63" t="s">
        <v>245</v>
      </c>
      <c r="C11" s="77">
        <v>18620.7</v>
      </c>
      <c r="D11" s="78">
        <v>0</v>
      </c>
      <c r="E11" s="78">
        <f>2056.4+6.5</f>
        <v>2062.9</v>
      </c>
      <c r="F11" s="78">
        <f>1932.3+371.9+14</f>
        <v>2318.2</v>
      </c>
      <c r="G11" s="78">
        <f>1305.1+371.9+12.9</f>
        <v>1689.9</v>
      </c>
      <c r="H11" s="78">
        <f>1991.1+371.9+15</f>
        <v>2378</v>
      </c>
      <c r="I11" s="78">
        <f>1606+371.9+18</f>
        <v>1995.9</v>
      </c>
      <c r="J11" s="78">
        <f>2009.1+371.9+15</f>
        <v>2396</v>
      </c>
      <c r="K11" s="77">
        <v>12336.4</v>
      </c>
      <c r="L11" s="77">
        <f t="shared" si="2"/>
        <v>30957.1</v>
      </c>
      <c r="S11" s="77">
        <f>24837.1</f>
        <v>24837.1</v>
      </c>
      <c r="T11" s="73">
        <v>0</v>
      </c>
      <c r="U11" s="73">
        <f>2773.8</f>
        <v>2773.8</v>
      </c>
      <c r="V11" s="73">
        <f>2484.1</f>
        <v>2484.1</v>
      </c>
      <c r="W11" s="73">
        <f>1171.9</f>
        <v>1171.9</v>
      </c>
      <c r="X11" s="73">
        <f>2931.1</f>
        <v>2931.1</v>
      </c>
      <c r="Y11" s="73">
        <f>2176.1</f>
        <v>2176.1</v>
      </c>
      <c r="Z11" s="247">
        <f>2203.3</f>
        <v>2203.3</v>
      </c>
      <c r="AA11" s="77">
        <f t="shared" si="3"/>
        <v>13740.3</v>
      </c>
      <c r="AB11" s="77">
        <f>S11+AA11</f>
        <v>38577.399999999994</v>
      </c>
    </row>
    <row r="12" spans="1:28" ht="16.5">
      <c r="A12" s="80"/>
      <c r="B12" s="81" t="s">
        <v>68</v>
      </c>
      <c r="C12" s="77">
        <f>0</f>
        <v>0</v>
      </c>
      <c r="D12" s="78">
        <v>0</v>
      </c>
      <c r="E12" s="78"/>
      <c r="F12" s="78"/>
      <c r="G12" s="78"/>
      <c r="H12" s="78"/>
      <c r="I12" s="78"/>
      <c r="J12" s="78"/>
      <c r="K12" s="77">
        <f aca="true" t="shared" si="6" ref="K12:K26">D12+E12+F12+G12+H12+I12+J12</f>
        <v>0</v>
      </c>
      <c r="L12" s="82">
        <f t="shared" si="2"/>
        <v>0</v>
      </c>
      <c r="S12" s="82">
        <f>0</f>
        <v>0</v>
      </c>
      <c r="T12" s="82">
        <v>0</v>
      </c>
      <c r="U12" s="85"/>
      <c r="V12" s="85"/>
      <c r="W12" s="85"/>
      <c r="X12" s="85"/>
      <c r="Y12" s="85"/>
      <c r="Z12" s="246"/>
      <c r="AA12" s="77">
        <f t="shared" si="3"/>
        <v>0</v>
      </c>
      <c r="AB12" s="82">
        <f>S12+AA12</f>
        <v>0</v>
      </c>
    </row>
    <row r="13" spans="1:28" ht="33">
      <c r="A13" s="59" t="s">
        <v>70</v>
      </c>
      <c r="B13" s="63" t="s">
        <v>338</v>
      </c>
      <c r="C13" s="77">
        <f>C14+C15+C16</f>
        <v>6575</v>
      </c>
      <c r="D13" s="78">
        <v>0</v>
      </c>
      <c r="E13" s="78"/>
      <c r="F13" s="78"/>
      <c r="G13" s="78"/>
      <c r="H13" s="78"/>
      <c r="I13" s="78"/>
      <c r="J13" s="78"/>
      <c r="K13" s="77">
        <v>90.7</v>
      </c>
      <c r="L13" s="77">
        <f>C13+K13-K15</f>
        <v>6575</v>
      </c>
      <c r="S13" s="77">
        <f>S14+S15+S16</f>
        <v>7750.6</v>
      </c>
      <c r="T13" s="73">
        <v>0</v>
      </c>
      <c r="U13" s="73">
        <f aca="true" t="shared" si="7" ref="U13:Z13">U14+U15</f>
        <v>35</v>
      </c>
      <c r="V13" s="73">
        <f t="shared" si="7"/>
        <v>35</v>
      </c>
      <c r="W13" s="73">
        <f t="shared" si="7"/>
        <v>25</v>
      </c>
      <c r="X13" s="73">
        <f t="shared" si="7"/>
        <v>38</v>
      </c>
      <c r="Y13" s="73">
        <f t="shared" si="7"/>
        <v>28</v>
      </c>
      <c r="Z13" s="247">
        <f t="shared" si="7"/>
        <v>30</v>
      </c>
      <c r="AA13" s="77">
        <f t="shared" si="3"/>
        <v>191</v>
      </c>
      <c r="AB13" s="77">
        <f>S13+AA13-AA15</f>
        <v>7750.6</v>
      </c>
    </row>
    <row r="14" spans="1:28" ht="33">
      <c r="A14" s="59"/>
      <c r="B14" s="63" t="s">
        <v>71</v>
      </c>
      <c r="C14" s="77">
        <v>5948</v>
      </c>
      <c r="D14" s="78">
        <v>0</v>
      </c>
      <c r="E14" s="78"/>
      <c r="F14" s="78"/>
      <c r="G14" s="78"/>
      <c r="H14" s="78"/>
      <c r="I14" s="78"/>
      <c r="J14" s="78"/>
      <c r="K14" s="77">
        <f t="shared" si="6"/>
        <v>0</v>
      </c>
      <c r="L14" s="77">
        <f t="shared" si="2"/>
        <v>5948</v>
      </c>
      <c r="S14" s="77">
        <f>7328.5</f>
        <v>7328.5</v>
      </c>
      <c r="T14" s="73">
        <v>0</v>
      </c>
      <c r="U14" s="73">
        <v>0</v>
      </c>
      <c r="V14" s="73"/>
      <c r="W14" s="73"/>
      <c r="X14" s="73"/>
      <c r="Y14" s="73"/>
      <c r="Z14" s="247"/>
      <c r="AA14" s="77">
        <f t="shared" si="3"/>
        <v>0</v>
      </c>
      <c r="AB14" s="77">
        <f>S14+AA14</f>
        <v>7328.5</v>
      </c>
    </row>
    <row r="15" spans="1:28" ht="33">
      <c r="A15" s="80"/>
      <c r="B15" s="81" t="s">
        <v>248</v>
      </c>
      <c r="C15" s="82">
        <f>0</f>
        <v>0</v>
      </c>
      <c r="D15" s="83">
        <v>0</v>
      </c>
      <c r="E15" s="83">
        <v>14.3</v>
      </c>
      <c r="F15" s="83">
        <v>15.6</v>
      </c>
      <c r="G15" s="83">
        <v>14</v>
      </c>
      <c r="H15" s="83">
        <v>19.3</v>
      </c>
      <c r="I15" s="83">
        <v>11.8</v>
      </c>
      <c r="J15" s="83">
        <v>15.3</v>
      </c>
      <c r="K15" s="82">
        <v>90.7</v>
      </c>
      <c r="L15" s="82"/>
      <c r="S15" s="82">
        <f>0</f>
        <v>0</v>
      </c>
      <c r="T15" s="85">
        <v>0</v>
      </c>
      <c r="U15" s="85">
        <f>35</f>
        <v>35</v>
      </c>
      <c r="V15" s="85">
        <f>35</f>
        <v>35</v>
      </c>
      <c r="W15" s="85">
        <f>25</f>
        <v>25</v>
      </c>
      <c r="X15" s="85">
        <f>38</f>
        <v>38</v>
      </c>
      <c r="Y15" s="85">
        <f>28</f>
        <v>28</v>
      </c>
      <c r="Z15" s="246">
        <f>30</f>
        <v>30</v>
      </c>
      <c r="AA15" s="85">
        <f t="shared" si="3"/>
        <v>191</v>
      </c>
      <c r="AB15" s="82"/>
    </row>
    <row r="16" spans="1:28" ht="33">
      <c r="A16" s="59"/>
      <c r="B16" s="63" t="s">
        <v>339</v>
      </c>
      <c r="C16" s="77">
        <v>627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7">
        <f t="shared" si="6"/>
        <v>0</v>
      </c>
      <c r="L16" s="77">
        <f t="shared" si="2"/>
        <v>627</v>
      </c>
      <c r="S16" s="77">
        <f>422.1</f>
        <v>422.1</v>
      </c>
      <c r="T16" s="77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247">
        <v>0</v>
      </c>
      <c r="AA16" s="77">
        <f aca="true" t="shared" si="8" ref="AA16:AA31">T16+U16+V16+W16+X16+Y16+Z16</f>
        <v>0</v>
      </c>
      <c r="AB16" s="77">
        <f>S16+AA16</f>
        <v>422.1</v>
      </c>
    </row>
    <row r="17" spans="1:28" ht="33">
      <c r="A17" s="59" t="s">
        <v>74</v>
      </c>
      <c r="B17" s="63" t="s">
        <v>75</v>
      </c>
      <c r="C17" s="77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7">
        <f t="shared" si="6"/>
        <v>0</v>
      </c>
      <c r="L17" s="77">
        <f t="shared" si="2"/>
        <v>0</v>
      </c>
      <c r="S17" s="77">
        <v>0</v>
      </c>
      <c r="T17" s="77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247">
        <v>0</v>
      </c>
      <c r="AA17" s="77">
        <f t="shared" si="8"/>
        <v>0</v>
      </c>
      <c r="AB17" s="77">
        <f>S17+AA17</f>
        <v>0</v>
      </c>
    </row>
    <row r="18" spans="1:28" ht="16.5">
      <c r="A18" s="59" t="s">
        <v>76</v>
      </c>
      <c r="B18" s="63" t="s">
        <v>77</v>
      </c>
      <c r="C18" s="77">
        <v>400</v>
      </c>
      <c r="D18" s="78">
        <v>0</v>
      </c>
      <c r="E18" s="78">
        <v>10</v>
      </c>
      <c r="F18" s="78">
        <v>10</v>
      </c>
      <c r="G18" s="78">
        <v>10</v>
      </c>
      <c r="H18" s="78">
        <v>10</v>
      </c>
      <c r="I18" s="78">
        <v>10</v>
      </c>
      <c r="J18" s="78">
        <v>10</v>
      </c>
      <c r="K18" s="77">
        <v>90</v>
      </c>
      <c r="L18" s="77">
        <f t="shared" si="2"/>
        <v>490</v>
      </c>
      <c r="S18" s="77">
        <f>500</f>
        <v>500</v>
      </c>
      <c r="T18" s="77">
        <f>500</f>
        <v>500</v>
      </c>
      <c r="U18" s="73">
        <f>50</f>
        <v>50</v>
      </c>
      <c r="V18" s="73">
        <f>30</f>
        <v>30</v>
      </c>
      <c r="W18" s="73">
        <f>30</f>
        <v>30</v>
      </c>
      <c r="X18" s="73">
        <f>30</f>
        <v>30</v>
      </c>
      <c r="Y18" s="73">
        <f>30</f>
        <v>30</v>
      </c>
      <c r="Z18" s="247">
        <f>30</f>
        <v>30</v>
      </c>
      <c r="AA18" s="77">
        <f t="shared" si="8"/>
        <v>700</v>
      </c>
      <c r="AB18" s="77">
        <f>S18+AA18</f>
        <v>1200</v>
      </c>
    </row>
    <row r="19" spans="1:28" ht="16.5">
      <c r="A19" s="59" t="s">
        <v>78</v>
      </c>
      <c r="B19" s="63" t="s">
        <v>79</v>
      </c>
      <c r="C19" s="77">
        <f>C20+C21+C22+C23+C24+C25+C26+C27+C29</f>
        <v>10546.8</v>
      </c>
      <c r="D19" s="77">
        <f aca="true" t="shared" si="9" ref="D19:K19">D20+D21+D22+D23+D24+D25+D26+D27+D29</f>
        <v>325.6</v>
      </c>
      <c r="E19" s="77">
        <f t="shared" si="9"/>
        <v>4.4</v>
      </c>
      <c r="F19" s="77">
        <f t="shared" si="9"/>
        <v>4.4</v>
      </c>
      <c r="G19" s="77">
        <f t="shared" si="9"/>
        <v>4.5</v>
      </c>
      <c r="H19" s="77">
        <f t="shared" si="9"/>
        <v>5.2</v>
      </c>
      <c r="I19" s="77">
        <f t="shared" si="9"/>
        <v>4.4</v>
      </c>
      <c r="J19" s="77">
        <f t="shared" si="9"/>
        <v>4.4</v>
      </c>
      <c r="K19" s="77">
        <f t="shared" si="9"/>
        <v>755.1</v>
      </c>
      <c r="L19" s="77">
        <f>C19+K19-K29</f>
        <v>11301.9</v>
      </c>
      <c r="S19" s="77">
        <f>S20+S21+S22+S23+S24+S25+S26+S27+S28+S29</f>
        <v>15988.7</v>
      </c>
      <c r="T19" s="77">
        <f>T20+T21+T22+T23+T24+T25+T26+T27+T28+T29</f>
        <v>2916.3999999999996</v>
      </c>
      <c r="U19" s="77">
        <f aca="true" t="shared" si="10" ref="U19:Z19">U20+U21+U22+U23+U24+U25+U26+U27+U28+U29</f>
        <v>4.7</v>
      </c>
      <c r="V19" s="77">
        <f t="shared" si="10"/>
        <v>4.4</v>
      </c>
      <c r="W19" s="77">
        <f t="shared" si="10"/>
        <v>4.5</v>
      </c>
      <c r="X19" s="77">
        <f t="shared" si="10"/>
        <v>5.2</v>
      </c>
      <c r="Y19" s="77">
        <f t="shared" si="10"/>
        <v>5.2</v>
      </c>
      <c r="Z19" s="248">
        <f t="shared" si="10"/>
        <v>4.7</v>
      </c>
      <c r="AA19" s="77">
        <f>AA20+AA21+AA22+AA23+AA24+AA25+AA26+AA27+AA28+AA29</f>
        <v>1445.1</v>
      </c>
      <c r="AB19" s="77">
        <f>AB20+AB21+AB22+AB23+AB24+AB25+AB26+AB27+AB28+AB29</f>
        <v>16433.8</v>
      </c>
    </row>
    <row r="20" spans="1:28" ht="49.5">
      <c r="A20" s="59"/>
      <c r="B20" s="63" t="s">
        <v>340</v>
      </c>
      <c r="C20" s="77">
        <v>5656.7</v>
      </c>
      <c r="D20" s="78"/>
      <c r="E20" s="78"/>
      <c r="F20" s="78"/>
      <c r="G20" s="78"/>
      <c r="H20" s="78">
        <v>0</v>
      </c>
      <c r="I20" s="78"/>
      <c r="J20" s="78"/>
      <c r="K20" s="77">
        <f t="shared" si="6"/>
        <v>0</v>
      </c>
      <c r="L20" s="77">
        <f t="shared" si="2"/>
        <v>5656.7</v>
      </c>
      <c r="S20" s="77">
        <f>6836.1</f>
        <v>6836.1</v>
      </c>
      <c r="T20" s="77">
        <v>0</v>
      </c>
      <c r="U20" s="73">
        <v>0</v>
      </c>
      <c r="V20" s="73"/>
      <c r="W20" s="73"/>
      <c r="X20" s="73">
        <v>0</v>
      </c>
      <c r="Y20" s="73"/>
      <c r="Z20" s="247"/>
      <c r="AA20" s="77">
        <f t="shared" si="8"/>
        <v>0</v>
      </c>
      <c r="AB20" s="77">
        <f>S20+AA20</f>
        <v>6836.1</v>
      </c>
    </row>
    <row r="21" spans="1:28" ht="49.5">
      <c r="A21" s="59"/>
      <c r="B21" s="63" t="s">
        <v>341</v>
      </c>
      <c r="C21" s="77">
        <v>1743.1</v>
      </c>
      <c r="D21" s="78"/>
      <c r="E21" s="78"/>
      <c r="F21" s="78"/>
      <c r="G21" s="78"/>
      <c r="H21" s="78">
        <v>0</v>
      </c>
      <c r="I21" s="78"/>
      <c r="J21" s="78"/>
      <c r="K21" s="77">
        <f t="shared" si="6"/>
        <v>0</v>
      </c>
      <c r="L21" s="77">
        <f t="shared" si="2"/>
        <v>1743.1</v>
      </c>
      <c r="S21" s="77">
        <f>3498.1</f>
        <v>3498.1</v>
      </c>
      <c r="T21" s="77">
        <v>0</v>
      </c>
      <c r="U21" s="73">
        <v>0</v>
      </c>
      <c r="V21" s="73"/>
      <c r="W21" s="73"/>
      <c r="X21" s="73">
        <v>0</v>
      </c>
      <c r="Y21" s="73"/>
      <c r="Z21" s="247"/>
      <c r="AA21" s="77">
        <f t="shared" si="8"/>
        <v>0</v>
      </c>
      <c r="AB21" s="77">
        <f>S21+AA21</f>
        <v>3498.1</v>
      </c>
    </row>
    <row r="22" spans="1:28" ht="16.5">
      <c r="A22" s="59"/>
      <c r="B22" s="63" t="s">
        <v>250</v>
      </c>
      <c r="C22" s="77">
        <v>0</v>
      </c>
      <c r="D22" s="78">
        <v>325.6</v>
      </c>
      <c r="E22" s="78">
        <v>0</v>
      </c>
      <c r="F22" s="78"/>
      <c r="G22" s="78"/>
      <c r="H22" s="78"/>
      <c r="I22" s="78"/>
      <c r="J22" s="78"/>
      <c r="K22" s="77">
        <v>500</v>
      </c>
      <c r="L22" s="77">
        <f>K22</f>
        <v>500</v>
      </c>
      <c r="S22" s="77">
        <v>0</v>
      </c>
      <c r="T22" s="77">
        <f>937.3</f>
        <v>937.3</v>
      </c>
      <c r="U22" s="73">
        <v>0</v>
      </c>
      <c r="V22" s="73"/>
      <c r="W22" s="73"/>
      <c r="X22" s="73"/>
      <c r="Y22" s="73"/>
      <c r="Z22" s="247"/>
      <c r="AA22" s="77">
        <f t="shared" si="8"/>
        <v>937.3</v>
      </c>
      <c r="AB22" s="77">
        <f>AA22</f>
        <v>937.3</v>
      </c>
    </row>
    <row r="23" spans="1:28" ht="49.5">
      <c r="A23" s="59"/>
      <c r="B23" s="63" t="s">
        <v>342</v>
      </c>
      <c r="C23" s="77">
        <v>30</v>
      </c>
      <c r="D23" s="78"/>
      <c r="E23" s="78">
        <v>4.4</v>
      </c>
      <c r="F23" s="78">
        <v>4.4</v>
      </c>
      <c r="G23" s="78">
        <v>4.5</v>
      </c>
      <c r="H23" s="78">
        <v>5.2</v>
      </c>
      <c r="I23" s="78">
        <v>4.4</v>
      </c>
      <c r="J23" s="78">
        <v>4.4</v>
      </c>
      <c r="K23" s="77">
        <v>28.1</v>
      </c>
      <c r="L23" s="77">
        <f t="shared" si="2"/>
        <v>58.1</v>
      </c>
      <c r="S23" s="77">
        <f>50</f>
        <v>50</v>
      </c>
      <c r="T23" s="77">
        <f>29</f>
        <v>29</v>
      </c>
      <c r="U23" s="73">
        <f>4.7</f>
        <v>4.7</v>
      </c>
      <c r="V23" s="73">
        <v>4.4</v>
      </c>
      <c r="W23" s="73">
        <v>4.5</v>
      </c>
      <c r="X23" s="73">
        <v>5.2</v>
      </c>
      <c r="Y23" s="73">
        <v>5.2</v>
      </c>
      <c r="Z23" s="73">
        <f>4.7</f>
        <v>4.7</v>
      </c>
      <c r="AA23" s="77">
        <f t="shared" si="8"/>
        <v>57.70000000000001</v>
      </c>
      <c r="AB23" s="77">
        <f>S23+AA23</f>
        <v>107.70000000000002</v>
      </c>
    </row>
    <row r="24" spans="1:28" ht="33">
      <c r="A24" s="59"/>
      <c r="B24" s="63" t="s">
        <v>318</v>
      </c>
      <c r="C24" s="77">
        <v>0</v>
      </c>
      <c r="D24" s="78"/>
      <c r="E24" s="78"/>
      <c r="F24" s="78"/>
      <c r="G24" s="78"/>
      <c r="H24" s="78"/>
      <c r="I24" s="78"/>
      <c r="J24" s="78"/>
      <c r="K24" s="77">
        <f t="shared" si="6"/>
        <v>0</v>
      </c>
      <c r="L24" s="77">
        <f t="shared" si="2"/>
        <v>0</v>
      </c>
      <c r="S24" s="77">
        <f>263.3</f>
        <v>263.3</v>
      </c>
      <c r="T24" s="77">
        <f>210+0.1</f>
        <v>210.1</v>
      </c>
      <c r="U24" s="73"/>
      <c r="V24" s="73"/>
      <c r="W24" s="73"/>
      <c r="X24" s="73"/>
      <c r="Y24" s="73"/>
      <c r="Z24" s="247"/>
      <c r="AA24" s="77">
        <f t="shared" si="8"/>
        <v>210.1</v>
      </c>
      <c r="AB24" s="77">
        <f>S24+AA24</f>
        <v>473.4</v>
      </c>
    </row>
    <row r="25" spans="1:28" ht="49.5">
      <c r="A25" s="59"/>
      <c r="B25" s="63" t="s">
        <v>343</v>
      </c>
      <c r="C25" s="77">
        <v>100</v>
      </c>
      <c r="D25" s="78"/>
      <c r="E25" s="78"/>
      <c r="F25" s="78"/>
      <c r="G25" s="78"/>
      <c r="H25" s="78"/>
      <c r="I25" s="78"/>
      <c r="J25" s="78"/>
      <c r="K25" s="77">
        <v>47</v>
      </c>
      <c r="L25" s="77">
        <f t="shared" si="2"/>
        <v>147</v>
      </c>
      <c r="S25" s="77">
        <f>200</f>
        <v>200</v>
      </c>
      <c r="T25" s="77">
        <f>0</f>
        <v>0</v>
      </c>
      <c r="U25" s="73"/>
      <c r="V25" s="73"/>
      <c r="W25" s="73"/>
      <c r="X25" s="73"/>
      <c r="Y25" s="73"/>
      <c r="Z25" s="247"/>
      <c r="AA25" s="77">
        <f t="shared" si="8"/>
        <v>0</v>
      </c>
      <c r="AB25" s="77">
        <f>S25+AA25</f>
        <v>200</v>
      </c>
    </row>
    <row r="26" spans="1:28" ht="66">
      <c r="A26" s="59"/>
      <c r="B26" s="63" t="s">
        <v>372</v>
      </c>
      <c r="C26" s="77">
        <v>3017</v>
      </c>
      <c r="D26" s="78"/>
      <c r="E26" s="78"/>
      <c r="F26" s="78"/>
      <c r="G26" s="78"/>
      <c r="H26" s="78"/>
      <c r="I26" s="78"/>
      <c r="J26" s="78"/>
      <c r="K26" s="77">
        <f t="shared" si="6"/>
        <v>0</v>
      </c>
      <c r="L26" s="77">
        <f t="shared" si="2"/>
        <v>3017</v>
      </c>
      <c r="S26" s="77">
        <f>4141.2</f>
        <v>4141.2</v>
      </c>
      <c r="T26" s="77">
        <f>0</f>
        <v>0</v>
      </c>
      <c r="U26" s="73"/>
      <c r="V26" s="73"/>
      <c r="W26" s="73"/>
      <c r="X26" s="73"/>
      <c r="Y26" s="73"/>
      <c r="Z26" s="247"/>
      <c r="AA26" s="77">
        <f t="shared" si="8"/>
        <v>0</v>
      </c>
      <c r="AB26" s="77">
        <f>S26+AA26</f>
        <v>4141.2</v>
      </c>
    </row>
    <row r="27" spans="1:28" ht="16.5">
      <c r="A27" s="59"/>
      <c r="B27" s="63" t="s">
        <v>252</v>
      </c>
      <c r="C27" s="77">
        <v>0</v>
      </c>
      <c r="D27" s="78"/>
      <c r="E27" s="78"/>
      <c r="F27" s="78"/>
      <c r="G27" s="78"/>
      <c r="H27" s="78"/>
      <c r="I27" s="78"/>
      <c r="J27" s="78"/>
      <c r="K27" s="77">
        <v>180</v>
      </c>
      <c r="L27" s="77">
        <f t="shared" si="2"/>
        <v>180</v>
      </c>
      <c r="S27" s="77">
        <v>0</v>
      </c>
      <c r="T27" s="77">
        <f>240</f>
        <v>240</v>
      </c>
      <c r="U27" s="73"/>
      <c r="V27" s="73"/>
      <c r="W27" s="73"/>
      <c r="X27" s="73"/>
      <c r="Y27" s="73"/>
      <c r="Z27" s="247"/>
      <c r="AA27" s="77">
        <f t="shared" si="8"/>
        <v>240</v>
      </c>
      <c r="AB27" s="77">
        <f>S27+AA27</f>
        <v>240</v>
      </c>
    </row>
    <row r="28" spans="1:28" ht="33">
      <c r="A28" s="59"/>
      <c r="B28" s="63" t="s">
        <v>14</v>
      </c>
      <c r="C28" s="77"/>
      <c r="D28" s="78"/>
      <c r="E28" s="78"/>
      <c r="F28" s="78"/>
      <c r="G28" s="78"/>
      <c r="H28" s="78"/>
      <c r="I28" s="78"/>
      <c r="J28" s="78"/>
      <c r="K28" s="77"/>
      <c r="L28" s="77"/>
      <c r="S28" s="77">
        <f>1000</f>
        <v>1000</v>
      </c>
      <c r="T28" s="77">
        <f>1500</f>
        <v>1500</v>
      </c>
      <c r="U28" s="73"/>
      <c r="V28" s="73"/>
      <c r="W28" s="73"/>
      <c r="X28" s="73"/>
      <c r="Y28" s="73"/>
      <c r="Z28" s="247"/>
      <c r="AA28" s="77"/>
      <c r="AB28" s="77"/>
    </row>
    <row r="29" spans="1:28" ht="16.5" hidden="1">
      <c r="A29" s="59"/>
      <c r="B29" s="63" t="s">
        <v>253</v>
      </c>
      <c r="C29" s="77"/>
      <c r="D29" s="78"/>
      <c r="E29" s="78"/>
      <c r="F29" s="78"/>
      <c r="G29" s="78"/>
      <c r="H29" s="78"/>
      <c r="I29" s="78"/>
      <c r="J29" s="78"/>
      <c r="K29" s="77">
        <v>0</v>
      </c>
      <c r="L29" s="77"/>
      <c r="S29" s="77"/>
      <c r="T29" s="77"/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247">
        <v>0</v>
      </c>
      <c r="AA29" s="77">
        <v>0</v>
      </c>
      <c r="AB29" s="77"/>
    </row>
    <row r="30" spans="1:28" s="1" customFormat="1" ht="21" customHeight="1">
      <c r="A30" s="228" t="s">
        <v>86</v>
      </c>
      <c r="B30" s="229" t="s">
        <v>87</v>
      </c>
      <c r="C30" s="85">
        <f>C31</f>
        <v>0</v>
      </c>
      <c r="D30" s="232">
        <f aca="true" t="shared" si="11" ref="D30:J30">D31</f>
        <v>0</v>
      </c>
      <c r="E30" s="232">
        <f t="shared" si="11"/>
        <v>0</v>
      </c>
      <c r="F30" s="232">
        <f t="shared" si="11"/>
        <v>0</v>
      </c>
      <c r="G30" s="232">
        <f t="shared" si="11"/>
        <v>0</v>
      </c>
      <c r="H30" s="232">
        <f t="shared" si="11"/>
        <v>0</v>
      </c>
      <c r="I30" s="232">
        <f t="shared" si="11"/>
        <v>0</v>
      </c>
      <c r="J30" s="232">
        <f t="shared" si="11"/>
        <v>0</v>
      </c>
      <c r="K30" s="85">
        <f>K31</f>
        <v>960</v>
      </c>
      <c r="L30" s="85">
        <f t="shared" si="2"/>
        <v>960</v>
      </c>
      <c r="M30" s="134"/>
      <c r="N30" s="134"/>
      <c r="O30" s="134"/>
      <c r="P30" s="134"/>
      <c r="Q30" s="134"/>
      <c r="R30" s="233"/>
      <c r="S30" s="85">
        <f>S31</f>
        <v>0</v>
      </c>
      <c r="T30" s="85">
        <f aca="true" t="shared" si="12" ref="T30:Z30">T31</f>
        <v>0</v>
      </c>
      <c r="U30" s="85">
        <f t="shared" si="12"/>
        <v>169.6</v>
      </c>
      <c r="V30" s="85">
        <f t="shared" si="12"/>
        <v>67.8</v>
      </c>
      <c r="W30" s="85">
        <f t="shared" si="12"/>
        <v>169.6</v>
      </c>
      <c r="X30" s="85">
        <f t="shared" si="12"/>
        <v>169.6</v>
      </c>
      <c r="Y30" s="85">
        <f t="shared" si="12"/>
        <v>169.6</v>
      </c>
      <c r="Z30" s="246">
        <f t="shared" si="12"/>
        <v>169.6</v>
      </c>
      <c r="AA30" s="85">
        <f>AA31</f>
        <v>915.8000000000001</v>
      </c>
      <c r="AB30" s="85">
        <f>S30+AA30</f>
        <v>915.8000000000001</v>
      </c>
    </row>
    <row r="31" spans="1:28" ht="49.5">
      <c r="A31" s="59" t="s">
        <v>88</v>
      </c>
      <c r="B31" s="63" t="s">
        <v>254</v>
      </c>
      <c r="C31" s="77">
        <v>0</v>
      </c>
      <c r="D31" s="78"/>
      <c r="E31" s="78"/>
      <c r="F31" s="78"/>
      <c r="G31" s="78"/>
      <c r="H31" s="78"/>
      <c r="I31" s="78"/>
      <c r="J31" s="78"/>
      <c r="K31" s="77">
        <v>960</v>
      </c>
      <c r="L31" s="77">
        <f t="shared" si="2"/>
        <v>960</v>
      </c>
      <c r="S31" s="77">
        <v>0</v>
      </c>
      <c r="T31" s="77"/>
      <c r="U31" s="73">
        <f>169.6</f>
        <v>169.6</v>
      </c>
      <c r="V31" s="73">
        <f>67.8</f>
        <v>67.8</v>
      </c>
      <c r="W31" s="73">
        <f>169.6</f>
        <v>169.6</v>
      </c>
      <c r="X31" s="73">
        <f>169.6</f>
        <v>169.6</v>
      </c>
      <c r="Y31" s="73">
        <f>169.6</f>
        <v>169.6</v>
      </c>
      <c r="Z31" s="73">
        <f>169.6</f>
        <v>169.6</v>
      </c>
      <c r="AA31" s="77">
        <f t="shared" si="8"/>
        <v>915.8000000000001</v>
      </c>
      <c r="AB31" s="77">
        <f>S31+AA31</f>
        <v>915.8000000000001</v>
      </c>
    </row>
    <row r="32" spans="1:28" s="1" customFormat="1" ht="49.5">
      <c r="A32" s="228" t="s">
        <v>90</v>
      </c>
      <c r="B32" s="229" t="s">
        <v>345</v>
      </c>
      <c r="C32" s="85">
        <f>C33+C36</f>
        <v>200</v>
      </c>
      <c r="D32" s="232">
        <f aca="true" t="shared" si="13" ref="D32:J32">D33+D36</f>
        <v>580</v>
      </c>
      <c r="E32" s="232">
        <f t="shared" si="13"/>
        <v>0</v>
      </c>
      <c r="F32" s="232">
        <f t="shared" si="13"/>
        <v>100</v>
      </c>
      <c r="G32" s="232">
        <f t="shared" si="13"/>
        <v>0</v>
      </c>
      <c r="H32" s="232">
        <f t="shared" si="13"/>
        <v>30</v>
      </c>
      <c r="I32" s="232">
        <f t="shared" si="13"/>
        <v>0</v>
      </c>
      <c r="J32" s="232">
        <f t="shared" si="13"/>
        <v>0</v>
      </c>
      <c r="K32" s="85">
        <f>K33+K36</f>
        <v>630</v>
      </c>
      <c r="L32" s="85">
        <f>C32+K32</f>
        <v>830</v>
      </c>
      <c r="M32" s="134"/>
      <c r="N32" s="134"/>
      <c r="O32" s="134"/>
      <c r="P32" s="134"/>
      <c r="Q32" s="134"/>
      <c r="R32" s="233"/>
      <c r="S32" s="85">
        <f>S33+S36</f>
        <v>200</v>
      </c>
      <c r="T32" s="85">
        <f aca="true" t="shared" si="14" ref="T32:Z32">T33+T36</f>
        <v>690</v>
      </c>
      <c r="U32" s="85">
        <f t="shared" si="14"/>
        <v>0</v>
      </c>
      <c r="V32" s="85">
        <f t="shared" si="14"/>
        <v>0</v>
      </c>
      <c r="W32" s="85">
        <f t="shared" si="14"/>
        <v>0</v>
      </c>
      <c r="X32" s="85">
        <f t="shared" si="14"/>
        <v>0</v>
      </c>
      <c r="Y32" s="85">
        <f t="shared" si="14"/>
        <v>0</v>
      </c>
      <c r="Z32" s="246">
        <f t="shared" si="14"/>
        <v>0</v>
      </c>
      <c r="AA32" s="85">
        <f>AA33+AA36</f>
        <v>690</v>
      </c>
      <c r="AB32" s="85">
        <f>S32+AA32</f>
        <v>890</v>
      </c>
    </row>
    <row r="33" spans="1:28" ht="47.25">
      <c r="A33" s="59" t="s">
        <v>91</v>
      </c>
      <c r="B33" s="86" t="s">
        <v>373</v>
      </c>
      <c r="C33" s="77">
        <f>C34</f>
        <v>200</v>
      </c>
      <c r="D33" s="78">
        <f>D34</f>
        <v>580</v>
      </c>
      <c r="E33" s="78"/>
      <c r="F33" s="78"/>
      <c r="G33" s="78"/>
      <c r="H33" s="78"/>
      <c r="I33" s="78"/>
      <c r="J33" s="78"/>
      <c r="K33" s="77">
        <v>630</v>
      </c>
      <c r="L33" s="77">
        <f>C33+K33-K35</f>
        <v>830</v>
      </c>
      <c r="S33" s="77">
        <f>S34</f>
        <v>200</v>
      </c>
      <c r="T33" s="77">
        <f>T34</f>
        <v>690</v>
      </c>
      <c r="U33" s="73"/>
      <c r="V33" s="73"/>
      <c r="W33" s="73"/>
      <c r="X33" s="73"/>
      <c r="Y33" s="73"/>
      <c r="Z33" s="247"/>
      <c r="AA33" s="77">
        <f>AA34</f>
        <v>690</v>
      </c>
      <c r="AB33" s="77">
        <f>S33+AA33-AA35</f>
        <v>890</v>
      </c>
    </row>
    <row r="34" spans="1:28" ht="16.5">
      <c r="A34" s="59"/>
      <c r="B34" s="63" t="s">
        <v>100</v>
      </c>
      <c r="C34" s="77">
        <v>200</v>
      </c>
      <c r="D34" s="78">
        <v>580</v>
      </c>
      <c r="E34" s="78"/>
      <c r="F34" s="78"/>
      <c r="G34" s="78"/>
      <c r="H34" s="78"/>
      <c r="I34" s="78"/>
      <c r="J34" s="78"/>
      <c r="K34" s="77">
        <v>630</v>
      </c>
      <c r="L34" s="77">
        <f t="shared" si="2"/>
        <v>830</v>
      </c>
      <c r="S34" s="77">
        <v>200</v>
      </c>
      <c r="T34" s="77">
        <f>100+580+10</f>
        <v>690</v>
      </c>
      <c r="U34" s="73"/>
      <c r="V34" s="73"/>
      <c r="W34" s="73"/>
      <c r="X34" s="73"/>
      <c r="Y34" s="73"/>
      <c r="Z34" s="247"/>
      <c r="AA34" s="77">
        <f>T34+U34+V34+W34+X34+Y34+Z34</f>
        <v>690</v>
      </c>
      <c r="AB34" s="77">
        <f>S34+AA34</f>
        <v>890</v>
      </c>
    </row>
    <row r="35" spans="1:28" ht="16.5" hidden="1">
      <c r="A35" s="80"/>
      <c r="B35" s="81" t="s">
        <v>72</v>
      </c>
      <c r="C35" s="77"/>
      <c r="D35" s="78"/>
      <c r="E35" s="78"/>
      <c r="F35" s="78"/>
      <c r="G35" s="78"/>
      <c r="H35" s="78"/>
      <c r="I35" s="78"/>
      <c r="J35" s="78"/>
      <c r="K35" s="77"/>
      <c r="L35" s="82"/>
      <c r="S35" s="82"/>
      <c r="T35" s="82"/>
      <c r="U35" s="85"/>
      <c r="V35" s="85"/>
      <c r="W35" s="85"/>
      <c r="X35" s="85"/>
      <c r="Y35" s="85"/>
      <c r="Z35" s="246"/>
      <c r="AA35" s="77"/>
      <c r="AB35" s="82"/>
    </row>
    <row r="36" spans="1:28" ht="16.5">
      <c r="A36" s="59" t="s">
        <v>98</v>
      </c>
      <c r="B36" s="63" t="s">
        <v>99</v>
      </c>
      <c r="C36" s="77">
        <f>C37</f>
        <v>0</v>
      </c>
      <c r="D36" s="78">
        <f aca="true" t="shared" si="15" ref="D36:J36">D37</f>
        <v>0</v>
      </c>
      <c r="E36" s="78">
        <f t="shared" si="15"/>
        <v>0</v>
      </c>
      <c r="F36" s="78">
        <f t="shared" si="15"/>
        <v>100</v>
      </c>
      <c r="G36" s="78">
        <f t="shared" si="15"/>
        <v>0</v>
      </c>
      <c r="H36" s="78">
        <f t="shared" si="15"/>
        <v>30</v>
      </c>
      <c r="I36" s="78">
        <f t="shared" si="15"/>
        <v>0</v>
      </c>
      <c r="J36" s="78">
        <f t="shared" si="15"/>
        <v>0</v>
      </c>
      <c r="K36" s="77">
        <f>K37</f>
        <v>0</v>
      </c>
      <c r="L36" s="77">
        <f t="shared" si="2"/>
        <v>0</v>
      </c>
      <c r="S36" s="77">
        <f>S37</f>
        <v>0</v>
      </c>
      <c r="T36" s="77">
        <f aca="true" t="shared" si="16" ref="T36:Z36">T37</f>
        <v>0</v>
      </c>
      <c r="U36" s="73">
        <f t="shared" si="16"/>
        <v>0</v>
      </c>
      <c r="V36" s="73">
        <f t="shared" si="16"/>
        <v>0</v>
      </c>
      <c r="W36" s="73">
        <f t="shared" si="16"/>
        <v>0</v>
      </c>
      <c r="X36" s="73">
        <f t="shared" si="16"/>
        <v>0</v>
      </c>
      <c r="Y36" s="73">
        <f t="shared" si="16"/>
        <v>0</v>
      </c>
      <c r="Z36" s="247">
        <f t="shared" si="16"/>
        <v>0</v>
      </c>
      <c r="AA36" s="77">
        <f>AA37</f>
        <v>0</v>
      </c>
      <c r="AB36" s="77">
        <f>S36+AA36</f>
        <v>0</v>
      </c>
    </row>
    <row r="37" spans="1:28" ht="16.5">
      <c r="A37" s="59"/>
      <c r="B37" s="63" t="s">
        <v>100</v>
      </c>
      <c r="C37" s="77">
        <f>0</f>
        <v>0</v>
      </c>
      <c r="D37" s="78"/>
      <c r="E37" s="78">
        <v>0</v>
      </c>
      <c r="F37" s="78">
        <v>100</v>
      </c>
      <c r="G37" s="78"/>
      <c r="H37" s="78">
        <v>30</v>
      </c>
      <c r="I37" s="78"/>
      <c r="J37" s="78"/>
      <c r="K37" s="77">
        <v>0</v>
      </c>
      <c r="L37" s="77">
        <f t="shared" si="2"/>
        <v>0</v>
      </c>
      <c r="S37" s="77">
        <f>0</f>
        <v>0</v>
      </c>
      <c r="T37" s="77"/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247">
        <v>0</v>
      </c>
      <c r="AA37" s="77">
        <v>0</v>
      </c>
      <c r="AB37" s="77">
        <f>S37+AA37</f>
        <v>0</v>
      </c>
    </row>
    <row r="38" spans="1:28" s="1" customFormat="1" ht="26.25" customHeight="1">
      <c r="A38" s="228" t="s">
        <v>101</v>
      </c>
      <c r="B38" s="229" t="s">
        <v>102</v>
      </c>
      <c r="C38" s="85">
        <f>C40+C45</f>
        <v>46816.7</v>
      </c>
      <c r="D38" s="232">
        <f aca="true" t="shared" si="17" ref="D38:J38">D40+D45</f>
        <v>8504.5</v>
      </c>
      <c r="E38" s="232">
        <f t="shared" si="17"/>
        <v>0</v>
      </c>
      <c r="F38" s="232">
        <f t="shared" si="17"/>
        <v>0</v>
      </c>
      <c r="G38" s="232">
        <f t="shared" si="17"/>
        <v>0</v>
      </c>
      <c r="H38" s="232">
        <f t="shared" si="17"/>
        <v>0</v>
      </c>
      <c r="I38" s="232">
        <f t="shared" si="17"/>
        <v>0</v>
      </c>
      <c r="J38" s="232">
        <f t="shared" si="17"/>
        <v>0</v>
      </c>
      <c r="K38" s="85">
        <f>K40+K45</f>
        <v>5833.9</v>
      </c>
      <c r="L38" s="85">
        <f>C38+K38-K44</f>
        <v>52650.6</v>
      </c>
      <c r="M38" s="134"/>
      <c r="N38" s="134"/>
      <c r="O38" s="134"/>
      <c r="P38" s="134"/>
      <c r="Q38" s="134"/>
      <c r="R38" s="234"/>
      <c r="S38" s="85">
        <f>S39+S40+S45</f>
        <v>26302.4</v>
      </c>
      <c r="T38" s="85">
        <f aca="true" t="shared" si="18" ref="T38:AA38">T39+T40+T45</f>
        <v>8277.8</v>
      </c>
      <c r="U38" s="85">
        <f t="shared" si="18"/>
        <v>25</v>
      </c>
      <c r="V38" s="85">
        <f t="shared" si="18"/>
        <v>0</v>
      </c>
      <c r="W38" s="85">
        <f t="shared" si="18"/>
        <v>0</v>
      </c>
      <c r="X38" s="85">
        <f t="shared" si="18"/>
        <v>20.5</v>
      </c>
      <c r="Y38" s="85">
        <f t="shared" si="18"/>
        <v>0</v>
      </c>
      <c r="Z38" s="246">
        <f t="shared" si="18"/>
        <v>50</v>
      </c>
      <c r="AA38" s="85">
        <f t="shared" si="18"/>
        <v>8373.3</v>
      </c>
      <c r="AB38" s="85">
        <f>S38+AA38-AA44</f>
        <v>34675.7</v>
      </c>
    </row>
    <row r="39" spans="1:28" s="1" customFormat="1" ht="27" customHeight="1">
      <c r="A39" s="59" t="s">
        <v>221</v>
      </c>
      <c r="B39" s="63" t="s">
        <v>214</v>
      </c>
      <c r="C39" s="73"/>
      <c r="D39" s="61"/>
      <c r="E39" s="61"/>
      <c r="F39" s="61"/>
      <c r="G39" s="61"/>
      <c r="H39" s="61"/>
      <c r="I39" s="61"/>
      <c r="J39" s="61"/>
      <c r="K39" s="73"/>
      <c r="L39" s="73"/>
      <c r="R39" s="87"/>
      <c r="S39" s="77">
        <f>133.9</f>
        <v>133.9</v>
      </c>
      <c r="T39" s="77"/>
      <c r="U39" s="73"/>
      <c r="V39" s="73"/>
      <c r="W39" s="73"/>
      <c r="X39" s="73"/>
      <c r="Y39" s="73"/>
      <c r="Z39" s="247"/>
      <c r="AA39" s="77">
        <f>0</f>
        <v>0</v>
      </c>
      <c r="AB39" s="77">
        <f>S39+AA39</f>
        <v>133.9</v>
      </c>
    </row>
    <row r="40" spans="1:28" ht="24" customHeight="1">
      <c r="A40" s="59" t="s">
        <v>103</v>
      </c>
      <c r="B40" s="88" t="s">
        <v>374</v>
      </c>
      <c r="C40" s="77">
        <f>C41+C42+C43+C44</f>
        <v>46716.7</v>
      </c>
      <c r="D40" s="77">
        <f aca="true" t="shared" si="19" ref="D40:K40">D41+D42+D43+D44</f>
        <v>8504.5</v>
      </c>
      <c r="E40" s="77">
        <f t="shared" si="19"/>
        <v>0</v>
      </c>
      <c r="F40" s="77">
        <f t="shared" si="19"/>
        <v>0</v>
      </c>
      <c r="G40" s="77">
        <f t="shared" si="19"/>
        <v>0</v>
      </c>
      <c r="H40" s="77">
        <f t="shared" si="19"/>
        <v>0</v>
      </c>
      <c r="I40" s="77">
        <f t="shared" si="19"/>
        <v>0</v>
      </c>
      <c r="J40" s="77">
        <f t="shared" si="19"/>
        <v>0</v>
      </c>
      <c r="K40" s="77">
        <f t="shared" si="19"/>
        <v>5833.9</v>
      </c>
      <c r="L40" s="77">
        <f>C40+K40-K44</f>
        <v>52550.6</v>
      </c>
      <c r="S40" s="77">
        <f>S41+S42+S43+S44</f>
        <v>24953.5</v>
      </c>
      <c r="T40" s="77">
        <f aca="true" t="shared" si="20" ref="T40:AA40">T41+T42+T43+T44</f>
        <v>8277.8</v>
      </c>
      <c r="U40" s="245">
        <f t="shared" si="20"/>
        <v>0</v>
      </c>
      <c r="V40" s="245">
        <f t="shared" si="20"/>
        <v>0</v>
      </c>
      <c r="W40" s="245">
        <f t="shared" si="20"/>
        <v>0</v>
      </c>
      <c r="X40" s="245">
        <f t="shared" si="20"/>
        <v>0</v>
      </c>
      <c r="Y40" s="245">
        <f t="shared" si="20"/>
        <v>0</v>
      </c>
      <c r="Z40" s="250">
        <f t="shared" si="20"/>
        <v>0</v>
      </c>
      <c r="AA40" s="77">
        <f t="shared" si="20"/>
        <v>8277.8</v>
      </c>
      <c r="AB40" s="77">
        <f>S40+AA40-AA44</f>
        <v>33231.3</v>
      </c>
    </row>
    <row r="41" spans="1:28" ht="47.25" hidden="1">
      <c r="A41" s="59"/>
      <c r="B41" s="88" t="s">
        <v>258</v>
      </c>
      <c r="C41" s="77">
        <v>17245.8</v>
      </c>
      <c r="D41" s="78"/>
      <c r="E41" s="78"/>
      <c r="F41" s="78"/>
      <c r="G41" s="78"/>
      <c r="H41" s="78"/>
      <c r="I41" s="78"/>
      <c r="J41" s="78"/>
      <c r="K41" s="77">
        <f>D41+E41+F41+G41+H41+I41+J41</f>
        <v>0</v>
      </c>
      <c r="L41" s="77">
        <f t="shared" si="2"/>
        <v>17245.8</v>
      </c>
      <c r="S41" s="77">
        <f>0</f>
        <v>0</v>
      </c>
      <c r="T41" s="77"/>
      <c r="U41" s="73"/>
      <c r="V41" s="73"/>
      <c r="W41" s="73"/>
      <c r="X41" s="73"/>
      <c r="Y41" s="73"/>
      <c r="Z41" s="247"/>
      <c r="AA41" s="77">
        <f>T41+U41+V41+W41+X41+Y41+Z41</f>
        <v>0</v>
      </c>
      <c r="AB41" s="77">
        <f>S41+AA41</f>
        <v>0</v>
      </c>
    </row>
    <row r="42" spans="1:28" ht="31.5">
      <c r="A42" s="59"/>
      <c r="B42" s="86" t="s">
        <v>14</v>
      </c>
      <c r="C42" s="77">
        <f>172.5</f>
        <v>172.5</v>
      </c>
      <c r="D42" s="78"/>
      <c r="E42" s="78"/>
      <c r="F42" s="78"/>
      <c r="G42" s="78"/>
      <c r="H42" s="78"/>
      <c r="I42" s="78"/>
      <c r="J42" s="78"/>
      <c r="K42" s="77">
        <f>0</f>
        <v>0</v>
      </c>
      <c r="L42" s="77">
        <f t="shared" si="2"/>
        <v>172.5</v>
      </c>
      <c r="S42" s="77">
        <f>5000</f>
        <v>5000</v>
      </c>
      <c r="T42" s="77">
        <f>0</f>
        <v>0</v>
      </c>
      <c r="U42" s="73"/>
      <c r="V42" s="73"/>
      <c r="W42" s="73"/>
      <c r="X42" s="73"/>
      <c r="Y42" s="73"/>
      <c r="Z42" s="247"/>
      <c r="AA42" s="77">
        <f aca="true" t="shared" si="21" ref="AA42:AA48">T42+U42+V42+W42+X42+Y42+Z42</f>
        <v>0</v>
      </c>
      <c r="AB42" s="77">
        <f>S42+AA42</f>
        <v>5000</v>
      </c>
    </row>
    <row r="43" spans="1:28" ht="29.25" customHeight="1">
      <c r="A43" s="59"/>
      <c r="B43" s="86" t="s">
        <v>100</v>
      </c>
      <c r="C43" s="77">
        <f>(22000+7883.8-412.9-172.5)</f>
        <v>29298.399999999998</v>
      </c>
      <c r="D43" s="78">
        <v>8504.5</v>
      </c>
      <c r="E43" s="78"/>
      <c r="F43" s="78"/>
      <c r="G43" s="78"/>
      <c r="H43" s="78"/>
      <c r="I43" s="78"/>
      <c r="J43" s="78"/>
      <c r="K43" s="77">
        <v>5833.9</v>
      </c>
      <c r="L43" s="77">
        <f t="shared" si="2"/>
        <v>35132.299999999996</v>
      </c>
      <c r="S43" s="77">
        <f>19953.5</f>
        <v>19953.5</v>
      </c>
      <c r="T43" s="77">
        <f>8277.8</f>
        <v>8277.8</v>
      </c>
      <c r="U43" s="73"/>
      <c r="V43" s="73"/>
      <c r="W43" s="73"/>
      <c r="X43" s="73"/>
      <c r="Y43" s="73"/>
      <c r="Z43" s="247"/>
      <c r="AA43" s="77">
        <f t="shared" si="21"/>
        <v>8277.8</v>
      </c>
      <c r="AB43" s="77">
        <f>S43+AA43</f>
        <v>28231.3</v>
      </c>
    </row>
    <row r="44" spans="1:28" ht="33" hidden="1">
      <c r="A44" s="80"/>
      <c r="B44" s="81" t="s">
        <v>260</v>
      </c>
      <c r="C44" s="89">
        <v>0</v>
      </c>
      <c r="D44" s="90"/>
      <c r="E44" s="90"/>
      <c r="F44" s="90"/>
      <c r="G44" s="90"/>
      <c r="H44" s="90"/>
      <c r="I44" s="90"/>
      <c r="J44" s="90"/>
      <c r="K44" s="89">
        <f>7883.8-7883.8</f>
        <v>0</v>
      </c>
      <c r="L44" s="89"/>
      <c r="S44" s="82">
        <v>0</v>
      </c>
      <c r="T44" s="82"/>
      <c r="U44" s="85">
        <f>1498.2-1498.2</f>
        <v>0</v>
      </c>
      <c r="V44" s="85">
        <f>1593.6-1593.6</f>
        <v>0</v>
      </c>
      <c r="W44" s="85">
        <f>634.1-634.1</f>
        <v>0</v>
      </c>
      <c r="X44" s="85">
        <f>1660.9-1660.9</f>
        <v>0</v>
      </c>
      <c r="Y44" s="85">
        <f>1559.9-1559.9</f>
        <v>0</v>
      </c>
      <c r="Z44" s="246">
        <f>937.1-937.1</f>
        <v>0</v>
      </c>
      <c r="AA44" s="77">
        <f t="shared" si="21"/>
        <v>0</v>
      </c>
      <c r="AB44" s="89"/>
    </row>
    <row r="45" spans="1:28" ht="39" customHeight="1">
      <c r="A45" s="59" t="s">
        <v>105</v>
      </c>
      <c r="B45" s="63" t="s">
        <v>106</v>
      </c>
      <c r="C45" s="77">
        <f>C46+C47+C48</f>
        <v>100</v>
      </c>
      <c r="D45" s="78">
        <f aca="true" t="shared" si="22" ref="D45:J45">D46+D47+D48</f>
        <v>0</v>
      </c>
      <c r="E45" s="78">
        <f t="shared" si="22"/>
        <v>0</v>
      </c>
      <c r="F45" s="78">
        <f t="shared" si="22"/>
        <v>0</v>
      </c>
      <c r="G45" s="78">
        <f t="shared" si="22"/>
        <v>0</v>
      </c>
      <c r="H45" s="78">
        <f t="shared" si="22"/>
        <v>0</v>
      </c>
      <c r="I45" s="78">
        <f t="shared" si="22"/>
        <v>0</v>
      </c>
      <c r="J45" s="78">
        <f t="shared" si="22"/>
        <v>0</v>
      </c>
      <c r="K45" s="77">
        <f>K46+K47+K48</f>
        <v>0</v>
      </c>
      <c r="L45" s="77">
        <f>C45+K45-K45</f>
        <v>100</v>
      </c>
      <c r="S45" s="77">
        <f>S46+S47+S48</f>
        <v>1215</v>
      </c>
      <c r="T45" s="77">
        <f aca="true" t="shared" si="23" ref="T45:Z45">T46+T47+T48</f>
        <v>0</v>
      </c>
      <c r="U45" s="73">
        <f t="shared" si="23"/>
        <v>25</v>
      </c>
      <c r="V45" s="73">
        <f t="shared" si="23"/>
        <v>0</v>
      </c>
      <c r="W45" s="73">
        <f t="shared" si="23"/>
        <v>0</v>
      </c>
      <c r="X45" s="73">
        <f t="shared" si="23"/>
        <v>20.5</v>
      </c>
      <c r="Y45" s="73">
        <f t="shared" si="23"/>
        <v>0</v>
      </c>
      <c r="Z45" s="73">
        <f t="shared" si="23"/>
        <v>50</v>
      </c>
      <c r="AA45" s="77">
        <f t="shared" si="21"/>
        <v>95.5</v>
      </c>
      <c r="AB45" s="77">
        <f>S45+AA45-AA45</f>
        <v>1215</v>
      </c>
    </row>
    <row r="46" spans="1:28" ht="39" customHeight="1">
      <c r="A46" s="59"/>
      <c r="B46" s="63" t="s">
        <v>375</v>
      </c>
      <c r="C46" s="77">
        <v>100</v>
      </c>
      <c r="D46" s="78"/>
      <c r="E46" s="78"/>
      <c r="F46" s="78"/>
      <c r="G46" s="78"/>
      <c r="H46" s="78"/>
      <c r="I46" s="78"/>
      <c r="J46" s="78"/>
      <c r="K46" s="77">
        <v>0</v>
      </c>
      <c r="L46" s="77">
        <f t="shared" si="2"/>
        <v>100</v>
      </c>
      <c r="S46" s="77">
        <f>200</f>
        <v>200</v>
      </c>
      <c r="T46" s="77"/>
      <c r="U46" s="73">
        <f>25</f>
        <v>25</v>
      </c>
      <c r="V46" s="73"/>
      <c r="W46" s="73"/>
      <c r="X46" s="73">
        <f>20.5</f>
        <v>20.5</v>
      </c>
      <c r="Y46" s="73"/>
      <c r="Z46" s="73">
        <f>50</f>
        <v>50</v>
      </c>
      <c r="AA46" s="77">
        <f t="shared" si="21"/>
        <v>95.5</v>
      </c>
      <c r="AB46" s="77">
        <f>S46+AA46</f>
        <v>295.5</v>
      </c>
    </row>
    <row r="47" spans="1:28" ht="16.5" hidden="1">
      <c r="A47" s="80"/>
      <c r="B47" s="81" t="s">
        <v>72</v>
      </c>
      <c r="C47" s="77">
        <f>0</f>
        <v>0</v>
      </c>
      <c r="D47" s="78"/>
      <c r="E47" s="78"/>
      <c r="F47" s="78"/>
      <c r="G47" s="78"/>
      <c r="H47" s="78"/>
      <c r="I47" s="78"/>
      <c r="J47" s="78"/>
      <c r="K47" s="77"/>
      <c r="L47" s="82"/>
      <c r="S47" s="82">
        <f>0</f>
        <v>0</v>
      </c>
      <c r="T47" s="82"/>
      <c r="U47" s="85"/>
      <c r="V47" s="85"/>
      <c r="W47" s="85"/>
      <c r="X47" s="85"/>
      <c r="Y47" s="85"/>
      <c r="Z47" s="246"/>
      <c r="AA47" s="77">
        <f t="shared" si="21"/>
        <v>0</v>
      </c>
      <c r="AB47" s="82"/>
    </row>
    <row r="48" spans="1:28" ht="31.5" customHeight="1">
      <c r="A48" s="59"/>
      <c r="B48" s="63" t="s">
        <v>100</v>
      </c>
      <c r="C48" s="77">
        <v>0</v>
      </c>
      <c r="D48" s="78"/>
      <c r="E48" s="78"/>
      <c r="F48" s="78"/>
      <c r="G48" s="78"/>
      <c r="H48" s="78"/>
      <c r="I48" s="78"/>
      <c r="J48" s="78"/>
      <c r="K48" s="77">
        <f>D48+E48+F48+G48+H48+I48+J48</f>
        <v>0</v>
      </c>
      <c r="L48" s="77">
        <f t="shared" si="2"/>
        <v>0</v>
      </c>
      <c r="S48" s="77">
        <f>1015</f>
        <v>1015</v>
      </c>
      <c r="T48" s="77"/>
      <c r="U48" s="73"/>
      <c r="V48" s="73"/>
      <c r="W48" s="73"/>
      <c r="X48" s="73"/>
      <c r="Y48" s="73"/>
      <c r="Z48" s="247"/>
      <c r="AA48" s="77">
        <f t="shared" si="21"/>
        <v>0</v>
      </c>
      <c r="AB48" s="77">
        <f>S48+AA48</f>
        <v>1015</v>
      </c>
    </row>
    <row r="49" spans="1:28" s="1" customFormat="1" ht="40.5" customHeight="1">
      <c r="A49" s="228" t="s">
        <v>107</v>
      </c>
      <c r="B49" s="229" t="s">
        <v>108</v>
      </c>
      <c r="C49" s="85">
        <f>C50+C53+C57</f>
        <v>2600</v>
      </c>
      <c r="D49" s="232">
        <f aca="true" t="shared" si="24" ref="D49:J49">D50+D53+D57</f>
        <v>21164.1</v>
      </c>
      <c r="E49" s="232">
        <f t="shared" si="24"/>
        <v>305</v>
      </c>
      <c r="F49" s="232">
        <f t="shared" si="24"/>
        <v>375</v>
      </c>
      <c r="G49" s="232">
        <f t="shared" si="24"/>
        <v>216</v>
      </c>
      <c r="H49" s="232">
        <f t="shared" si="24"/>
        <v>325</v>
      </c>
      <c r="I49" s="232">
        <f t="shared" si="24"/>
        <v>365</v>
      </c>
      <c r="J49" s="232">
        <f t="shared" si="24"/>
        <v>435</v>
      </c>
      <c r="K49" s="85">
        <f>K50+K53+K57</f>
        <v>33794.6</v>
      </c>
      <c r="L49" s="85">
        <f>C49+K49-K56</f>
        <v>33794.6</v>
      </c>
      <c r="M49" s="134"/>
      <c r="N49" s="134"/>
      <c r="O49" s="134"/>
      <c r="P49" s="134"/>
      <c r="Q49" s="134"/>
      <c r="R49" s="234"/>
      <c r="S49" s="85">
        <f>S50+S53+S57</f>
        <v>7500</v>
      </c>
      <c r="T49" s="85">
        <f aca="true" t="shared" si="25" ref="T49:Z49">T50+T53+T57</f>
        <v>31640</v>
      </c>
      <c r="U49" s="85">
        <f t="shared" si="25"/>
        <v>2599.7</v>
      </c>
      <c r="V49" s="85">
        <f t="shared" si="25"/>
        <v>2009.3</v>
      </c>
      <c r="W49" s="85">
        <f t="shared" si="25"/>
        <v>1724</v>
      </c>
      <c r="X49" s="85">
        <f t="shared" si="25"/>
        <v>2122.2</v>
      </c>
      <c r="Y49" s="85">
        <f t="shared" si="25"/>
        <v>1001.8</v>
      </c>
      <c r="Z49" s="85">
        <f t="shared" si="25"/>
        <v>1680.4</v>
      </c>
      <c r="AA49" s="85">
        <f>AA50+AA53+AA57</f>
        <v>42777.4</v>
      </c>
      <c r="AB49" s="85">
        <f>S49+AA49-AA56</f>
        <v>43577.4</v>
      </c>
    </row>
    <row r="50" spans="1:28" ht="29.25" customHeight="1">
      <c r="A50" s="59" t="s">
        <v>109</v>
      </c>
      <c r="B50" s="63" t="s">
        <v>110</v>
      </c>
      <c r="C50" s="77">
        <f>C51+C52</f>
        <v>0</v>
      </c>
      <c r="D50" s="78">
        <f aca="true" t="shared" si="26" ref="D50:J50">D51+D52</f>
        <v>1850</v>
      </c>
      <c r="E50" s="78">
        <f t="shared" si="26"/>
        <v>0</v>
      </c>
      <c r="F50" s="78">
        <f t="shared" si="26"/>
        <v>0</v>
      </c>
      <c r="G50" s="78">
        <f t="shared" si="26"/>
        <v>0</v>
      </c>
      <c r="H50" s="78">
        <f t="shared" si="26"/>
        <v>0</v>
      </c>
      <c r="I50" s="78">
        <f t="shared" si="26"/>
        <v>0</v>
      </c>
      <c r="J50" s="78">
        <f t="shared" si="26"/>
        <v>0</v>
      </c>
      <c r="K50" s="77">
        <f>K51+K52</f>
        <v>2804.6</v>
      </c>
      <c r="L50" s="77">
        <f t="shared" si="2"/>
        <v>2804.6</v>
      </c>
      <c r="S50" s="77">
        <f>S51+S52</f>
        <v>800</v>
      </c>
      <c r="T50" s="77">
        <f aca="true" t="shared" si="27" ref="T50:Z50">T51+T52</f>
        <v>3200</v>
      </c>
      <c r="U50" s="73">
        <f t="shared" si="27"/>
        <v>0</v>
      </c>
      <c r="V50" s="73">
        <f t="shared" si="27"/>
        <v>0</v>
      </c>
      <c r="W50" s="73">
        <f t="shared" si="27"/>
        <v>0</v>
      </c>
      <c r="X50" s="73">
        <f t="shared" si="27"/>
        <v>0</v>
      </c>
      <c r="Y50" s="73">
        <f t="shared" si="27"/>
        <v>0</v>
      </c>
      <c r="Z50" s="247">
        <f t="shared" si="27"/>
        <v>0</v>
      </c>
      <c r="AA50" s="77">
        <f>AA51+AA52</f>
        <v>3200</v>
      </c>
      <c r="AB50" s="77">
        <f>S50+AA50</f>
        <v>4000</v>
      </c>
    </row>
    <row r="51" spans="1:28" ht="35.25" customHeight="1">
      <c r="A51" s="59"/>
      <c r="B51" s="63" t="s">
        <v>349</v>
      </c>
      <c r="C51" s="77">
        <v>0</v>
      </c>
      <c r="D51" s="78">
        <v>1850</v>
      </c>
      <c r="E51" s="78"/>
      <c r="F51" s="78"/>
      <c r="G51" s="78"/>
      <c r="H51" s="78"/>
      <c r="I51" s="78"/>
      <c r="J51" s="78"/>
      <c r="K51" s="77">
        <f>3000-195.4</f>
        <v>2804.6</v>
      </c>
      <c r="L51" s="77">
        <f t="shared" si="2"/>
        <v>2804.6</v>
      </c>
      <c r="S51" s="77">
        <f>800</f>
        <v>800</v>
      </c>
      <c r="T51" s="77">
        <f>1000+2200</f>
        <v>3200</v>
      </c>
      <c r="U51" s="73"/>
      <c r="V51" s="73"/>
      <c r="W51" s="73"/>
      <c r="X51" s="73"/>
      <c r="Y51" s="73"/>
      <c r="Z51" s="247"/>
      <c r="AA51" s="77">
        <f>T51+U51+V51+W51+X51+Y51+Z51</f>
        <v>3200</v>
      </c>
      <c r="AB51" s="77">
        <f>S51+AA51</f>
        <v>4000</v>
      </c>
    </row>
    <row r="52" spans="1:28" ht="27.75" customHeight="1">
      <c r="A52" s="59"/>
      <c r="B52" s="63" t="s">
        <v>100</v>
      </c>
      <c r="C52" s="77">
        <v>0</v>
      </c>
      <c r="D52" s="78"/>
      <c r="E52" s="78"/>
      <c r="F52" s="78"/>
      <c r="G52" s="78"/>
      <c r="H52" s="78"/>
      <c r="I52" s="78"/>
      <c r="J52" s="78"/>
      <c r="K52" s="77">
        <f>D52+E52+F52+G52+H52+I52+J52</f>
        <v>0</v>
      </c>
      <c r="L52" s="77">
        <f t="shared" si="2"/>
        <v>0</v>
      </c>
      <c r="S52" s="77">
        <v>0</v>
      </c>
      <c r="T52" s="77">
        <f>0</f>
        <v>0</v>
      </c>
      <c r="U52" s="73"/>
      <c r="V52" s="73"/>
      <c r="W52" s="73"/>
      <c r="X52" s="73"/>
      <c r="Y52" s="73"/>
      <c r="Z52" s="247"/>
      <c r="AA52" s="77">
        <f>T52+U52+V52+W52+X52+Y52+Z52</f>
        <v>0</v>
      </c>
      <c r="AB52" s="77">
        <f>S52+AA52</f>
        <v>0</v>
      </c>
    </row>
    <row r="53" spans="1:28" ht="23.25" customHeight="1">
      <c r="A53" s="59" t="s">
        <v>112</v>
      </c>
      <c r="B53" s="63" t="s">
        <v>113</v>
      </c>
      <c r="C53" s="77">
        <f>C54+C55+C56</f>
        <v>2600</v>
      </c>
      <c r="D53" s="78">
        <f aca="true" t="shared" si="28" ref="D53:J53">D54+D55+D56</f>
        <v>0</v>
      </c>
      <c r="E53" s="78">
        <f t="shared" si="28"/>
        <v>0</v>
      </c>
      <c r="F53" s="78">
        <f t="shared" si="28"/>
        <v>0</v>
      </c>
      <c r="G53" s="78">
        <f t="shared" si="28"/>
        <v>0</v>
      </c>
      <c r="H53" s="78">
        <f t="shared" si="28"/>
        <v>0</v>
      </c>
      <c r="I53" s="78">
        <f t="shared" si="28"/>
        <v>0</v>
      </c>
      <c r="J53" s="78">
        <f t="shared" si="28"/>
        <v>0</v>
      </c>
      <c r="K53" s="77">
        <f>K54+K55+K56</f>
        <v>5200</v>
      </c>
      <c r="L53" s="77">
        <f>C53+K53-K56</f>
        <v>5200</v>
      </c>
      <c r="S53" s="77">
        <f>S54+S55+S56</f>
        <v>6700</v>
      </c>
      <c r="T53" s="77">
        <f aca="true" t="shared" si="29" ref="T53:Z53">T54+T55+T56</f>
        <v>0</v>
      </c>
      <c r="U53" s="73">
        <f t="shared" si="29"/>
        <v>1600</v>
      </c>
      <c r="V53" s="73">
        <f t="shared" si="29"/>
        <v>1200</v>
      </c>
      <c r="W53" s="73">
        <f t="shared" si="29"/>
        <v>1200</v>
      </c>
      <c r="X53" s="73">
        <f t="shared" si="29"/>
        <v>1300</v>
      </c>
      <c r="Y53" s="73">
        <f t="shared" si="29"/>
        <v>400</v>
      </c>
      <c r="Z53" s="73">
        <f t="shared" si="29"/>
        <v>1000</v>
      </c>
      <c r="AA53" s="77">
        <f>AA54+AA55+AA56</f>
        <v>6700</v>
      </c>
      <c r="AB53" s="77">
        <f>S53+AA53-AA56</f>
        <v>6700</v>
      </c>
    </row>
    <row r="54" spans="1:28" ht="16.5" hidden="1">
      <c r="A54" s="59"/>
      <c r="B54" s="63" t="s">
        <v>114</v>
      </c>
      <c r="C54" s="77">
        <f>0</f>
        <v>0</v>
      </c>
      <c r="D54" s="78"/>
      <c r="E54" s="78"/>
      <c r="F54" s="78"/>
      <c r="G54" s="78"/>
      <c r="H54" s="78"/>
      <c r="I54" s="78"/>
      <c r="J54" s="78"/>
      <c r="K54" s="77">
        <f>D54+E54+F54+G54+H54+I54+J54</f>
        <v>0</v>
      </c>
      <c r="L54" s="77">
        <f t="shared" si="2"/>
        <v>0</v>
      </c>
      <c r="S54" s="77">
        <f>0</f>
        <v>0</v>
      </c>
      <c r="T54" s="77"/>
      <c r="U54" s="73"/>
      <c r="V54" s="73"/>
      <c r="W54" s="73"/>
      <c r="X54" s="73"/>
      <c r="Y54" s="73"/>
      <c r="Z54" s="247"/>
      <c r="AA54" s="77">
        <f>T54+U54+V54+W54+X54+Y54+Z54</f>
        <v>0</v>
      </c>
      <c r="AB54" s="77">
        <f>S54+AA54</f>
        <v>0</v>
      </c>
    </row>
    <row r="55" spans="1:28" ht="27" customHeight="1">
      <c r="A55" s="59"/>
      <c r="B55" s="63" t="s">
        <v>100</v>
      </c>
      <c r="C55" s="77">
        <v>2600</v>
      </c>
      <c r="D55" s="78"/>
      <c r="E55" s="78"/>
      <c r="F55" s="78"/>
      <c r="G55" s="78"/>
      <c r="H55" s="78"/>
      <c r="I55" s="78"/>
      <c r="J55" s="78"/>
      <c r="K55" s="77">
        <v>2600</v>
      </c>
      <c r="L55" s="77">
        <f t="shared" si="2"/>
        <v>5200</v>
      </c>
      <c r="S55" s="77">
        <f>0</f>
        <v>0</v>
      </c>
      <c r="T55" s="77">
        <f>0</f>
        <v>0</v>
      </c>
      <c r="U55" s="73"/>
      <c r="V55" s="73"/>
      <c r="W55" s="73"/>
      <c r="X55" s="73"/>
      <c r="Y55" s="73"/>
      <c r="Z55" s="247"/>
      <c r="AA55" s="77">
        <f>T55+U55+V55+W55+X55+Y55+Z55</f>
        <v>0</v>
      </c>
      <c r="AB55" s="77">
        <f>S55+AA55</f>
        <v>0</v>
      </c>
    </row>
    <row r="56" spans="1:28" ht="33">
      <c r="A56" s="80"/>
      <c r="B56" s="81" t="s">
        <v>263</v>
      </c>
      <c r="C56" s="82">
        <v>0</v>
      </c>
      <c r="D56" s="83"/>
      <c r="E56" s="83"/>
      <c r="F56" s="83"/>
      <c r="G56" s="83"/>
      <c r="H56" s="83"/>
      <c r="I56" s="83"/>
      <c r="J56" s="83"/>
      <c r="K56" s="82">
        <v>2600</v>
      </c>
      <c r="L56" s="82"/>
      <c r="S56" s="82">
        <f>6700</f>
        <v>6700</v>
      </c>
      <c r="T56" s="85">
        <v>0</v>
      </c>
      <c r="U56" s="85">
        <f>1600</f>
        <v>1600</v>
      </c>
      <c r="V56" s="85">
        <f>1200</f>
        <v>1200</v>
      </c>
      <c r="W56" s="85">
        <f>1200</f>
        <v>1200</v>
      </c>
      <c r="X56" s="85">
        <f>1300</f>
        <v>1300</v>
      </c>
      <c r="Y56" s="85">
        <f>400</f>
        <v>400</v>
      </c>
      <c r="Z56" s="246">
        <f>1000</f>
        <v>1000</v>
      </c>
      <c r="AA56" s="85">
        <f>SUM(T56:Z56)</f>
        <v>6700</v>
      </c>
      <c r="AB56" s="82"/>
    </row>
    <row r="57" spans="1:28" ht="18.75" customHeight="1">
      <c r="A57" s="59" t="s">
        <v>117</v>
      </c>
      <c r="B57" s="63" t="s">
        <v>264</v>
      </c>
      <c r="C57" s="77">
        <v>0</v>
      </c>
      <c r="D57" s="78">
        <f aca="true" t="shared" si="30" ref="D57:J57">D58+D59+D60+D61+D62+D63</f>
        <v>19314.1</v>
      </c>
      <c r="E57" s="78">
        <f t="shared" si="30"/>
        <v>305</v>
      </c>
      <c r="F57" s="78">
        <f t="shared" si="30"/>
        <v>375</v>
      </c>
      <c r="G57" s="78">
        <f t="shared" si="30"/>
        <v>216</v>
      </c>
      <c r="H57" s="78">
        <f t="shared" si="30"/>
        <v>325</v>
      </c>
      <c r="I57" s="78">
        <f t="shared" si="30"/>
        <v>365</v>
      </c>
      <c r="J57" s="78">
        <f t="shared" si="30"/>
        <v>435</v>
      </c>
      <c r="K57" s="77">
        <f>K58+K59+K60+K61+K62+K63</f>
        <v>25790</v>
      </c>
      <c r="L57" s="77">
        <f>C57+K57-K62</f>
        <v>25790</v>
      </c>
      <c r="S57" s="77">
        <v>0</v>
      </c>
      <c r="T57" s="77">
        <f aca="true" t="shared" si="31" ref="T57:Z57">T58+T59+T60+T61+T62+T63</f>
        <v>28440</v>
      </c>
      <c r="U57" s="73">
        <f t="shared" si="31"/>
        <v>999.7</v>
      </c>
      <c r="V57" s="73">
        <f t="shared" si="31"/>
        <v>809.3</v>
      </c>
      <c r="W57" s="73">
        <f t="shared" si="31"/>
        <v>524</v>
      </c>
      <c r="X57" s="73">
        <f t="shared" si="31"/>
        <v>822.2</v>
      </c>
      <c r="Y57" s="73">
        <f t="shared" si="31"/>
        <v>601.8</v>
      </c>
      <c r="Z57" s="247">
        <f t="shared" si="31"/>
        <v>680.4</v>
      </c>
      <c r="AA57" s="77">
        <f>AA58+AA59+AA60+AA61+AA62+AA63</f>
        <v>32877.4</v>
      </c>
      <c r="AB57" s="77">
        <f>S57+AA57-AA62</f>
        <v>32877.4</v>
      </c>
    </row>
    <row r="58" spans="1:28" ht="16.5">
      <c r="A58" s="59"/>
      <c r="B58" s="63" t="s">
        <v>265</v>
      </c>
      <c r="C58" s="77">
        <v>0</v>
      </c>
      <c r="D58" s="78">
        <v>8014.1</v>
      </c>
      <c r="E58" s="78">
        <v>180</v>
      </c>
      <c r="F58" s="78">
        <v>250</v>
      </c>
      <c r="G58" s="78">
        <v>96</v>
      </c>
      <c r="H58" s="78">
        <v>200</v>
      </c>
      <c r="I58" s="78">
        <v>240</v>
      </c>
      <c r="J58" s="78">
        <v>310</v>
      </c>
      <c r="K58" s="77">
        <v>11675</v>
      </c>
      <c r="L58" s="77">
        <f t="shared" si="2"/>
        <v>11675</v>
      </c>
      <c r="S58" s="77">
        <v>0</v>
      </c>
      <c r="T58" s="77"/>
      <c r="U58" s="73"/>
      <c r="V58" s="73"/>
      <c r="W58" s="73"/>
      <c r="X58" s="73"/>
      <c r="Y58" s="73"/>
      <c r="Z58" s="247"/>
      <c r="AA58" s="77">
        <f>T58+U58+V58+W58+X58+Y58+Z58</f>
        <v>0</v>
      </c>
      <c r="AB58" s="77">
        <f>S58+AA58</f>
        <v>0</v>
      </c>
    </row>
    <row r="59" spans="1:28" ht="16.5">
      <c r="A59" s="59"/>
      <c r="B59" s="63" t="s">
        <v>120</v>
      </c>
      <c r="C59" s="77">
        <f>0</f>
        <v>0</v>
      </c>
      <c r="D59" s="78">
        <v>200</v>
      </c>
      <c r="E59" s="78">
        <v>25</v>
      </c>
      <c r="F59" s="78">
        <v>25</v>
      </c>
      <c r="G59" s="78">
        <v>20</v>
      </c>
      <c r="H59" s="78">
        <v>25</v>
      </c>
      <c r="I59" s="78">
        <v>25</v>
      </c>
      <c r="J59" s="78">
        <v>25</v>
      </c>
      <c r="K59" s="77">
        <v>65</v>
      </c>
      <c r="L59" s="77">
        <f t="shared" si="2"/>
        <v>65</v>
      </c>
      <c r="S59" s="77">
        <f>0</f>
        <v>0</v>
      </c>
      <c r="T59" s="77"/>
      <c r="U59" s="73"/>
      <c r="V59" s="73"/>
      <c r="W59" s="73"/>
      <c r="X59" s="73"/>
      <c r="Y59" s="73"/>
      <c r="Z59" s="247"/>
      <c r="AA59" s="77">
        <f aca="true" t="shared" si="32" ref="AA59:AA68">T59+U59+V59+W59+X59+Y59+Z59</f>
        <v>0</v>
      </c>
      <c r="AB59" s="77">
        <f>S59+AA59</f>
        <v>0</v>
      </c>
    </row>
    <row r="60" spans="1:28" ht="16.5">
      <c r="A60" s="59"/>
      <c r="B60" s="63" t="s">
        <v>121</v>
      </c>
      <c r="C60" s="77">
        <f>0</f>
        <v>0</v>
      </c>
      <c r="D60" s="78">
        <v>50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7">
        <v>60</v>
      </c>
      <c r="L60" s="77">
        <f t="shared" si="2"/>
        <v>60</v>
      </c>
      <c r="S60" s="77">
        <f>0</f>
        <v>0</v>
      </c>
      <c r="T60" s="77"/>
      <c r="U60" s="73"/>
      <c r="V60" s="73"/>
      <c r="W60" s="73"/>
      <c r="X60" s="73"/>
      <c r="Y60" s="73"/>
      <c r="Z60" s="247"/>
      <c r="AA60" s="77">
        <f t="shared" si="32"/>
        <v>0</v>
      </c>
      <c r="AB60" s="77">
        <f>S60+AA60</f>
        <v>0</v>
      </c>
    </row>
    <row r="61" spans="1:28" ht="16.5">
      <c r="A61" s="59"/>
      <c r="B61" s="63" t="s">
        <v>122</v>
      </c>
      <c r="C61" s="77">
        <f>0</f>
        <v>0</v>
      </c>
      <c r="D61" s="78">
        <v>11050</v>
      </c>
      <c r="E61" s="78">
        <v>100</v>
      </c>
      <c r="F61" s="78">
        <v>100</v>
      </c>
      <c r="G61" s="78">
        <v>100</v>
      </c>
      <c r="H61" s="78">
        <v>100</v>
      </c>
      <c r="I61" s="78">
        <v>100</v>
      </c>
      <c r="J61" s="78">
        <v>100</v>
      </c>
      <c r="K61" s="77">
        <v>12155</v>
      </c>
      <c r="L61" s="77">
        <f t="shared" si="2"/>
        <v>12155</v>
      </c>
      <c r="S61" s="77">
        <f>0</f>
        <v>0</v>
      </c>
      <c r="T61" s="77"/>
      <c r="U61" s="73"/>
      <c r="V61" s="73"/>
      <c r="W61" s="73"/>
      <c r="X61" s="73"/>
      <c r="Y61" s="73"/>
      <c r="Z61" s="247"/>
      <c r="AA61" s="77">
        <f t="shared" si="32"/>
        <v>0</v>
      </c>
      <c r="AB61" s="77">
        <f>S61+AA61</f>
        <v>0</v>
      </c>
    </row>
    <row r="62" spans="1:28" ht="33">
      <c r="A62" s="59"/>
      <c r="B62" s="81" t="s">
        <v>266</v>
      </c>
      <c r="C62" s="77"/>
      <c r="D62" s="78">
        <v>0</v>
      </c>
      <c r="E62" s="78"/>
      <c r="F62" s="78"/>
      <c r="G62" s="78"/>
      <c r="H62" s="78"/>
      <c r="I62" s="78"/>
      <c r="J62" s="78"/>
      <c r="K62" s="77">
        <v>0</v>
      </c>
      <c r="L62" s="82">
        <v>0</v>
      </c>
      <c r="S62" s="77"/>
      <c r="T62" s="82">
        <v>0</v>
      </c>
      <c r="U62" s="85"/>
      <c r="V62" s="85"/>
      <c r="W62" s="85"/>
      <c r="X62" s="85"/>
      <c r="Y62" s="85"/>
      <c r="Z62" s="246"/>
      <c r="AA62" s="77">
        <f>T62+U62+V62+W62+X62+Y62+Z62</f>
        <v>0</v>
      </c>
      <c r="AB62" s="82">
        <v>0</v>
      </c>
    </row>
    <row r="63" spans="1:28" ht="55.5" customHeight="1">
      <c r="A63" s="59"/>
      <c r="B63" s="63" t="s">
        <v>384</v>
      </c>
      <c r="C63" s="77"/>
      <c r="D63" s="78"/>
      <c r="E63" s="78"/>
      <c r="F63" s="78"/>
      <c r="G63" s="78"/>
      <c r="H63" s="78"/>
      <c r="I63" s="78"/>
      <c r="J63" s="78"/>
      <c r="K63" s="77">
        <v>1835</v>
      </c>
      <c r="L63" s="77">
        <f t="shared" si="2"/>
        <v>1835</v>
      </c>
      <c r="S63" s="77"/>
      <c r="T63" s="239">
        <f aca="true" t="shared" si="33" ref="T63:Z63">T64+T65+T66</f>
        <v>28440</v>
      </c>
      <c r="U63" s="239">
        <f t="shared" si="33"/>
        <v>999.7</v>
      </c>
      <c r="V63" s="239">
        <f t="shared" si="33"/>
        <v>809.3</v>
      </c>
      <c r="W63" s="239">
        <f t="shared" si="33"/>
        <v>524</v>
      </c>
      <c r="X63" s="239">
        <f t="shared" si="33"/>
        <v>822.2</v>
      </c>
      <c r="Y63" s="239">
        <f t="shared" si="33"/>
        <v>601.8</v>
      </c>
      <c r="Z63" s="239">
        <f t="shared" si="33"/>
        <v>680.4</v>
      </c>
      <c r="AA63" s="77">
        <f t="shared" si="32"/>
        <v>32877.4</v>
      </c>
      <c r="AB63" s="77">
        <f>S63+AA63</f>
        <v>32877.4</v>
      </c>
    </row>
    <row r="64" spans="1:28" ht="39" customHeight="1">
      <c r="A64" s="59"/>
      <c r="B64" s="244" t="s">
        <v>385</v>
      </c>
      <c r="C64" s="77"/>
      <c r="D64" s="78"/>
      <c r="E64" s="78"/>
      <c r="F64" s="78"/>
      <c r="G64" s="78"/>
      <c r="H64" s="78"/>
      <c r="I64" s="78"/>
      <c r="J64" s="78"/>
      <c r="K64" s="77"/>
      <c r="L64" s="77"/>
      <c r="S64" s="77"/>
      <c r="T64" s="239">
        <f>6000</f>
        <v>6000</v>
      </c>
      <c r="U64" s="243">
        <f>380</f>
        <v>380</v>
      </c>
      <c r="V64" s="243">
        <f>415</f>
        <v>415</v>
      </c>
      <c r="W64" s="243">
        <f>168</f>
        <v>168</v>
      </c>
      <c r="X64" s="243">
        <f>425</f>
        <v>425</v>
      </c>
      <c r="Y64" s="243">
        <f>360</f>
        <v>360</v>
      </c>
      <c r="Z64" s="243">
        <f>425</f>
        <v>425</v>
      </c>
      <c r="AA64" s="77"/>
      <c r="AB64" s="77"/>
    </row>
    <row r="65" spans="1:28" ht="28.5" customHeight="1">
      <c r="A65" s="59"/>
      <c r="B65" s="244" t="s">
        <v>392</v>
      </c>
      <c r="C65" s="77"/>
      <c r="D65" s="78"/>
      <c r="E65" s="78"/>
      <c r="F65" s="78"/>
      <c r="G65" s="78"/>
      <c r="H65" s="78"/>
      <c r="I65" s="78"/>
      <c r="J65" s="78"/>
      <c r="K65" s="77"/>
      <c r="L65" s="77"/>
      <c r="S65" s="77"/>
      <c r="T65" s="239">
        <f>225</f>
        <v>225</v>
      </c>
      <c r="U65" s="243">
        <f>25</f>
        <v>25</v>
      </c>
      <c r="V65" s="243">
        <f>35</f>
        <v>35</v>
      </c>
      <c r="W65" s="243">
        <f>25</f>
        <v>25</v>
      </c>
      <c r="X65" s="243">
        <f>25</f>
        <v>25</v>
      </c>
      <c r="Y65" s="243">
        <f>7</f>
        <v>7</v>
      </c>
      <c r="Z65" s="243">
        <f>35</f>
        <v>35</v>
      </c>
      <c r="AA65" s="77"/>
      <c r="AB65" s="77"/>
    </row>
    <row r="66" spans="1:28" ht="24.75" customHeight="1">
      <c r="A66" s="59"/>
      <c r="B66" s="63" t="s">
        <v>122</v>
      </c>
      <c r="C66" s="77"/>
      <c r="D66" s="78"/>
      <c r="E66" s="78"/>
      <c r="F66" s="78"/>
      <c r="G66" s="78"/>
      <c r="H66" s="78"/>
      <c r="I66" s="78"/>
      <c r="J66" s="78"/>
      <c r="K66" s="77"/>
      <c r="L66" s="77"/>
      <c r="S66" s="77"/>
      <c r="T66" s="239">
        <f>22215</f>
        <v>22215</v>
      </c>
      <c r="U66" s="243">
        <f>594.7</f>
        <v>594.7</v>
      </c>
      <c r="V66" s="243">
        <f>359.3</f>
        <v>359.3</v>
      </c>
      <c r="W66" s="243">
        <f>331</f>
        <v>331</v>
      </c>
      <c r="X66" s="243">
        <f>372.2</f>
        <v>372.2</v>
      </c>
      <c r="Y66" s="243">
        <f>235-0.2</f>
        <v>234.8</v>
      </c>
      <c r="Z66" s="243">
        <f>220.5-0.1</f>
        <v>220.4</v>
      </c>
      <c r="AA66" s="77"/>
      <c r="AB66" s="77"/>
    </row>
    <row r="67" spans="1:28" s="1" customFormat="1" ht="26.25" customHeight="1">
      <c r="A67" s="228" t="s">
        <v>125</v>
      </c>
      <c r="B67" s="229" t="s">
        <v>126</v>
      </c>
      <c r="C67" s="85">
        <f>C68</f>
        <v>0</v>
      </c>
      <c r="D67" s="232">
        <f aca="true" t="shared" si="34" ref="D67:J67">D68</f>
        <v>0</v>
      </c>
      <c r="E67" s="232">
        <f t="shared" si="34"/>
        <v>2.2</v>
      </c>
      <c r="F67" s="232">
        <f t="shared" si="34"/>
        <v>1</v>
      </c>
      <c r="G67" s="232">
        <f t="shared" si="34"/>
        <v>1</v>
      </c>
      <c r="H67" s="232">
        <f t="shared" si="34"/>
        <v>1</v>
      </c>
      <c r="I67" s="232">
        <f t="shared" si="34"/>
        <v>1</v>
      </c>
      <c r="J67" s="232">
        <f t="shared" si="34"/>
        <v>1</v>
      </c>
      <c r="K67" s="85">
        <f>K68</f>
        <v>0</v>
      </c>
      <c r="L67" s="85">
        <f t="shared" si="2"/>
        <v>0</v>
      </c>
      <c r="M67" s="134"/>
      <c r="N67" s="134"/>
      <c r="O67" s="134"/>
      <c r="P67" s="134"/>
      <c r="Q67" s="134"/>
      <c r="R67" s="233"/>
      <c r="S67" s="85">
        <f>S68</f>
        <v>0</v>
      </c>
      <c r="T67" s="85">
        <f aca="true" t="shared" si="35" ref="T67:Z67">T68</f>
        <v>0</v>
      </c>
      <c r="U67" s="85">
        <f t="shared" si="35"/>
        <v>3.8</v>
      </c>
      <c r="V67" s="85">
        <f t="shared" si="35"/>
        <v>1.5</v>
      </c>
      <c r="W67" s="85">
        <f t="shared" si="35"/>
        <v>3.1</v>
      </c>
      <c r="X67" s="85">
        <f t="shared" si="35"/>
        <v>6.4</v>
      </c>
      <c r="Y67" s="85">
        <f t="shared" si="35"/>
        <v>1.6</v>
      </c>
      <c r="Z67" s="85">
        <f t="shared" si="35"/>
        <v>3.2</v>
      </c>
      <c r="AA67" s="85">
        <f>AA68</f>
        <v>19.6</v>
      </c>
      <c r="AB67" s="85">
        <f>S67+AA67</f>
        <v>19.6</v>
      </c>
    </row>
    <row r="68" spans="1:28" ht="39.75" customHeight="1">
      <c r="A68" s="59" t="s">
        <v>127</v>
      </c>
      <c r="B68" s="63" t="s">
        <v>128</v>
      </c>
      <c r="C68" s="77">
        <f>0</f>
        <v>0</v>
      </c>
      <c r="D68" s="78"/>
      <c r="E68" s="78">
        <v>2.2</v>
      </c>
      <c r="F68" s="78">
        <v>1</v>
      </c>
      <c r="G68" s="78">
        <v>1</v>
      </c>
      <c r="H68" s="78">
        <v>1</v>
      </c>
      <c r="I68" s="78">
        <v>1</v>
      </c>
      <c r="J68" s="78">
        <v>1</v>
      </c>
      <c r="K68" s="77">
        <v>0</v>
      </c>
      <c r="L68" s="77">
        <f t="shared" si="2"/>
        <v>0</v>
      </c>
      <c r="S68" s="77">
        <f>0</f>
        <v>0</v>
      </c>
      <c r="T68" s="77">
        <f>0</f>
        <v>0</v>
      </c>
      <c r="U68" s="73">
        <f>3.8</f>
        <v>3.8</v>
      </c>
      <c r="V68" s="73">
        <f>1.5</f>
        <v>1.5</v>
      </c>
      <c r="W68" s="73">
        <f>3.1</f>
        <v>3.1</v>
      </c>
      <c r="X68" s="73">
        <f>6.4</f>
        <v>6.4</v>
      </c>
      <c r="Y68" s="73">
        <f>1.6</f>
        <v>1.6</v>
      </c>
      <c r="Z68" s="73">
        <f>3.2</f>
        <v>3.2</v>
      </c>
      <c r="AA68" s="77">
        <f t="shared" si="32"/>
        <v>19.6</v>
      </c>
      <c r="AB68" s="77">
        <f>S68+AA68</f>
        <v>19.6</v>
      </c>
    </row>
    <row r="69" spans="1:28" s="1" customFormat="1" ht="16.5">
      <c r="A69" s="228" t="s">
        <v>129</v>
      </c>
      <c r="B69" s="229" t="s">
        <v>268</v>
      </c>
      <c r="C69" s="85">
        <f>C70+C71+C79+C83+C89</f>
        <v>447747.49999999994</v>
      </c>
      <c r="D69" s="232">
        <f aca="true" t="shared" si="36" ref="D69:J69">D70+D71+D79+D83+D89</f>
        <v>3730.1</v>
      </c>
      <c r="E69" s="232">
        <f t="shared" si="36"/>
        <v>3</v>
      </c>
      <c r="F69" s="232">
        <f t="shared" si="36"/>
        <v>3</v>
      </c>
      <c r="G69" s="232">
        <f t="shared" si="36"/>
        <v>3</v>
      </c>
      <c r="H69" s="232">
        <f t="shared" si="36"/>
        <v>3</v>
      </c>
      <c r="I69" s="232">
        <f t="shared" si="36"/>
        <v>3</v>
      </c>
      <c r="J69" s="232">
        <f t="shared" si="36"/>
        <v>3</v>
      </c>
      <c r="K69" s="85">
        <f>K70+K71+K79+K83+K89</f>
        <v>3748.3</v>
      </c>
      <c r="L69" s="85">
        <f>C69+K69-K78-K87</f>
        <v>451495.79999999993</v>
      </c>
      <c r="M69" s="134"/>
      <c r="N69" s="134"/>
      <c r="O69" s="134"/>
      <c r="P69" s="134"/>
      <c r="Q69" s="134"/>
      <c r="R69" s="233"/>
      <c r="S69" s="85">
        <f>S70+S71+S74+S79+S83+S89</f>
        <v>456363.4</v>
      </c>
      <c r="T69" s="85">
        <f aca="true" t="shared" si="37" ref="T69:AB69">T70+T71+T74+T79+T83+T89</f>
        <v>0</v>
      </c>
      <c r="U69" s="85">
        <f t="shared" si="37"/>
        <v>0</v>
      </c>
      <c r="V69" s="85">
        <f t="shared" si="37"/>
        <v>0</v>
      </c>
      <c r="W69" s="85">
        <f t="shared" si="37"/>
        <v>0</v>
      </c>
      <c r="X69" s="85">
        <f t="shared" si="37"/>
        <v>0</v>
      </c>
      <c r="Y69" s="85">
        <f t="shared" si="37"/>
        <v>0</v>
      </c>
      <c r="Z69" s="246">
        <f t="shared" si="37"/>
        <v>0</v>
      </c>
      <c r="AA69" s="85">
        <f t="shared" si="37"/>
        <v>0</v>
      </c>
      <c r="AB69" s="85">
        <f t="shared" si="37"/>
        <v>444851</v>
      </c>
    </row>
    <row r="70" spans="1:28" ht="33">
      <c r="A70" s="59" t="s">
        <v>134</v>
      </c>
      <c r="B70" s="91" t="s">
        <v>269</v>
      </c>
      <c r="C70" s="77">
        <v>125615</v>
      </c>
      <c r="D70" s="78"/>
      <c r="E70" s="78"/>
      <c r="F70" s="78"/>
      <c r="G70" s="78"/>
      <c r="H70" s="78"/>
      <c r="I70" s="78"/>
      <c r="J70" s="78"/>
      <c r="K70" s="77">
        <f>D70+E70+F70+G70+H70+I70+J70</f>
        <v>0</v>
      </c>
      <c r="L70" s="77">
        <f t="shared" si="2"/>
        <v>125615</v>
      </c>
      <c r="M70" s="3">
        <f>200+165</f>
        <v>365</v>
      </c>
      <c r="N70" s="3" t="s">
        <v>270</v>
      </c>
      <c r="O70" s="3">
        <v>931.3</v>
      </c>
      <c r="P70" s="3" t="s">
        <v>271</v>
      </c>
      <c r="S70" s="77">
        <f>141928.6</f>
        <v>141928.6</v>
      </c>
      <c r="T70" s="77"/>
      <c r="U70" s="73"/>
      <c r="V70" s="73"/>
      <c r="W70" s="73"/>
      <c r="X70" s="73"/>
      <c r="Y70" s="73"/>
      <c r="Z70" s="247"/>
      <c r="AA70" s="77">
        <f aca="true" t="shared" si="38" ref="AA70:AA77">T70+U70+V70+W70+X70+Y70+Z70</f>
        <v>0</v>
      </c>
      <c r="AB70" s="77">
        <f>S70+AA70</f>
        <v>141928.6</v>
      </c>
    </row>
    <row r="71" spans="1:28" ht="16.5">
      <c r="A71" s="59" t="s">
        <v>135</v>
      </c>
      <c r="B71" s="63" t="s">
        <v>352</v>
      </c>
      <c r="C71" s="77">
        <f>C73+C76+C77+C78</f>
        <v>297623.1</v>
      </c>
      <c r="D71" s="78">
        <f aca="true" t="shared" si="39" ref="D71:J71">D73+D76+D77+D78</f>
        <v>3730.1</v>
      </c>
      <c r="E71" s="78">
        <f t="shared" si="39"/>
        <v>0</v>
      </c>
      <c r="F71" s="78">
        <f t="shared" si="39"/>
        <v>0</v>
      </c>
      <c r="G71" s="78">
        <f t="shared" si="39"/>
        <v>0</v>
      </c>
      <c r="H71" s="78">
        <f t="shared" si="39"/>
        <v>0</v>
      </c>
      <c r="I71" s="78">
        <f t="shared" si="39"/>
        <v>0</v>
      </c>
      <c r="J71" s="78">
        <f t="shared" si="39"/>
        <v>0</v>
      </c>
      <c r="K71" s="77">
        <f>K73+K76+K77+K78</f>
        <v>3748.3</v>
      </c>
      <c r="L71" s="77">
        <f>C71+K71-K78</f>
        <v>301371.39999999997</v>
      </c>
      <c r="S71" s="78">
        <f>S73</f>
        <v>264452.8</v>
      </c>
      <c r="T71" s="77">
        <f aca="true" t="shared" si="40" ref="T71:AB71">T73</f>
        <v>0</v>
      </c>
      <c r="U71" s="77">
        <f t="shared" si="40"/>
        <v>0</v>
      </c>
      <c r="V71" s="77">
        <f t="shared" si="40"/>
        <v>0</v>
      </c>
      <c r="W71" s="77">
        <f t="shared" si="40"/>
        <v>0</v>
      </c>
      <c r="X71" s="77">
        <f t="shared" si="40"/>
        <v>0</v>
      </c>
      <c r="Y71" s="77">
        <f t="shared" si="40"/>
        <v>0</v>
      </c>
      <c r="Z71" s="248">
        <f t="shared" si="40"/>
        <v>0</v>
      </c>
      <c r="AA71" s="78">
        <f t="shared" si="40"/>
        <v>0</v>
      </c>
      <c r="AB71" s="78">
        <f t="shared" si="40"/>
        <v>264452.8</v>
      </c>
    </row>
    <row r="72" spans="1:28" ht="16.5" hidden="1">
      <c r="A72" s="59"/>
      <c r="B72" s="63" t="s">
        <v>136</v>
      </c>
      <c r="C72" s="77"/>
      <c r="D72" s="78"/>
      <c r="E72" s="78"/>
      <c r="F72" s="78"/>
      <c r="G72" s="78"/>
      <c r="H72" s="78"/>
      <c r="I72" s="78"/>
      <c r="J72" s="78"/>
      <c r="K72" s="77"/>
      <c r="L72" s="77">
        <f t="shared" si="2"/>
        <v>0</v>
      </c>
      <c r="S72" s="77"/>
      <c r="T72" s="77"/>
      <c r="U72" s="73"/>
      <c r="V72" s="73"/>
      <c r="W72" s="73"/>
      <c r="X72" s="73"/>
      <c r="Y72" s="73"/>
      <c r="Z72" s="247"/>
      <c r="AA72" s="77">
        <f t="shared" si="38"/>
        <v>0</v>
      </c>
      <c r="AB72" s="77">
        <f>S72+AA72</f>
        <v>0</v>
      </c>
    </row>
    <row r="73" spans="1:28" ht="33">
      <c r="A73" s="59"/>
      <c r="B73" s="63" t="s">
        <v>272</v>
      </c>
      <c r="C73" s="77">
        <v>288151.1</v>
      </c>
      <c r="D73" s="78"/>
      <c r="E73" s="78"/>
      <c r="F73" s="78"/>
      <c r="G73" s="78"/>
      <c r="H73" s="78"/>
      <c r="I73" s="78"/>
      <c r="J73" s="78"/>
      <c r="K73" s="77">
        <f>D73+E73+F73+G73+H73+I73+J73</f>
        <v>0</v>
      </c>
      <c r="L73" s="77">
        <f t="shared" si="2"/>
        <v>288151.1</v>
      </c>
      <c r="M73" s="3">
        <f>480+1050</f>
        <v>1530</v>
      </c>
      <c r="N73" s="3" t="s">
        <v>270</v>
      </c>
      <c r="O73" s="3">
        <v>370</v>
      </c>
      <c r="P73" s="3" t="s">
        <v>271</v>
      </c>
      <c r="S73" s="77">
        <f>264452.8</f>
        <v>264452.8</v>
      </c>
      <c r="T73" s="77"/>
      <c r="U73" s="73"/>
      <c r="V73" s="73"/>
      <c r="W73" s="73"/>
      <c r="X73" s="73"/>
      <c r="Y73" s="73"/>
      <c r="Z73" s="247"/>
      <c r="AA73" s="77">
        <f t="shared" si="38"/>
        <v>0</v>
      </c>
      <c r="AB73" s="77">
        <f>S73+AA73</f>
        <v>264452.8</v>
      </c>
    </row>
    <row r="74" spans="1:28" ht="16.5">
      <c r="A74" s="59" t="s">
        <v>320</v>
      </c>
      <c r="B74" s="63" t="s">
        <v>354</v>
      </c>
      <c r="C74" s="77"/>
      <c r="D74" s="78"/>
      <c r="E74" s="78"/>
      <c r="F74" s="78"/>
      <c r="G74" s="78"/>
      <c r="H74" s="78"/>
      <c r="I74" s="78"/>
      <c r="J74" s="78"/>
      <c r="K74" s="77"/>
      <c r="L74" s="77"/>
      <c r="S74" s="77">
        <f>S75+S76+S77</f>
        <v>22721.4</v>
      </c>
      <c r="T74" s="77">
        <f aca="true" t="shared" si="41" ref="T74:AB74">T75+T76+T77</f>
        <v>0</v>
      </c>
      <c r="U74" s="77">
        <f t="shared" si="41"/>
        <v>0</v>
      </c>
      <c r="V74" s="77">
        <f t="shared" si="41"/>
        <v>0</v>
      </c>
      <c r="W74" s="77">
        <f t="shared" si="41"/>
        <v>0</v>
      </c>
      <c r="X74" s="77">
        <f t="shared" si="41"/>
        <v>0</v>
      </c>
      <c r="Y74" s="77">
        <f t="shared" si="41"/>
        <v>0</v>
      </c>
      <c r="Z74" s="248">
        <f t="shared" si="41"/>
        <v>0</v>
      </c>
      <c r="AA74" s="77">
        <f t="shared" si="41"/>
        <v>0</v>
      </c>
      <c r="AB74" s="77">
        <f t="shared" si="41"/>
        <v>11209</v>
      </c>
    </row>
    <row r="75" spans="1:28" ht="26.25" customHeight="1">
      <c r="A75" s="59"/>
      <c r="B75" s="63" t="s">
        <v>141</v>
      </c>
      <c r="C75" s="77"/>
      <c r="D75" s="78"/>
      <c r="E75" s="78"/>
      <c r="F75" s="78"/>
      <c r="G75" s="78"/>
      <c r="H75" s="78"/>
      <c r="I75" s="78"/>
      <c r="J75" s="78"/>
      <c r="K75" s="77"/>
      <c r="L75" s="77"/>
      <c r="S75" s="77">
        <f>11512.4</f>
        <v>11512.4</v>
      </c>
      <c r="T75" s="77"/>
      <c r="U75" s="77"/>
      <c r="V75" s="77"/>
      <c r="W75" s="77"/>
      <c r="X75" s="77"/>
      <c r="Y75" s="77"/>
      <c r="Z75" s="248"/>
      <c r="AA75" s="77"/>
      <c r="AB75" s="77"/>
    </row>
    <row r="76" spans="1:28" ht="25.5" customHeight="1">
      <c r="A76" s="59"/>
      <c r="B76" s="63" t="s">
        <v>137</v>
      </c>
      <c r="C76" s="77">
        <v>0</v>
      </c>
      <c r="D76" s="78">
        <v>3730.1</v>
      </c>
      <c r="E76" s="78"/>
      <c r="F76" s="78"/>
      <c r="G76" s="78"/>
      <c r="H76" s="78"/>
      <c r="I76" s="78"/>
      <c r="J76" s="78"/>
      <c r="K76" s="77">
        <v>3748.3</v>
      </c>
      <c r="L76" s="77">
        <f t="shared" si="2"/>
        <v>3748.3</v>
      </c>
      <c r="S76" s="77">
        <f>0</f>
        <v>0</v>
      </c>
      <c r="T76" s="77">
        <f>0</f>
        <v>0</v>
      </c>
      <c r="U76" s="73"/>
      <c r="V76" s="73"/>
      <c r="W76" s="73"/>
      <c r="X76" s="73"/>
      <c r="Y76" s="73"/>
      <c r="Z76" s="247"/>
      <c r="AA76" s="77">
        <f t="shared" si="38"/>
        <v>0</v>
      </c>
      <c r="AB76" s="77">
        <f>S76+AA76</f>
        <v>0</v>
      </c>
    </row>
    <row r="77" spans="1:28" ht="22.5" customHeight="1">
      <c r="A77" s="59"/>
      <c r="B77" s="63" t="s">
        <v>273</v>
      </c>
      <c r="C77" s="77">
        <v>9472</v>
      </c>
      <c r="D77" s="78"/>
      <c r="E77" s="78"/>
      <c r="F77" s="78"/>
      <c r="G77" s="78"/>
      <c r="H77" s="78"/>
      <c r="I77" s="78"/>
      <c r="J77" s="78"/>
      <c r="K77" s="77">
        <f>D77+E77+F77+G77+H77+I77+J77</f>
        <v>0</v>
      </c>
      <c r="L77" s="77">
        <f t="shared" si="2"/>
        <v>9472</v>
      </c>
      <c r="S77" s="77">
        <f>11209</f>
        <v>11209</v>
      </c>
      <c r="T77" s="77"/>
      <c r="U77" s="73"/>
      <c r="V77" s="73"/>
      <c r="W77" s="73"/>
      <c r="X77" s="73"/>
      <c r="Y77" s="73"/>
      <c r="Z77" s="247"/>
      <c r="AA77" s="77">
        <f t="shared" si="38"/>
        <v>0</v>
      </c>
      <c r="AB77" s="77">
        <f>S77+AA77</f>
        <v>11209</v>
      </c>
    </row>
    <row r="78" spans="1:28" ht="16.5" hidden="1">
      <c r="A78" s="59"/>
      <c r="B78" s="63" t="s">
        <v>72</v>
      </c>
      <c r="C78" s="77">
        <v>0</v>
      </c>
      <c r="D78" s="78"/>
      <c r="E78" s="78"/>
      <c r="F78" s="78"/>
      <c r="G78" s="78"/>
      <c r="H78" s="78"/>
      <c r="I78" s="78"/>
      <c r="J78" s="78"/>
      <c r="K78" s="77"/>
      <c r="L78" s="77"/>
      <c r="S78" s="77">
        <v>0</v>
      </c>
      <c r="T78" s="77"/>
      <c r="U78" s="73"/>
      <c r="V78" s="73"/>
      <c r="W78" s="73"/>
      <c r="X78" s="73"/>
      <c r="Y78" s="73"/>
      <c r="Z78" s="247"/>
      <c r="AA78" s="77"/>
      <c r="AB78" s="77"/>
    </row>
    <row r="79" spans="1:28" ht="16.5" hidden="1">
      <c r="A79" s="59" t="s">
        <v>139</v>
      </c>
      <c r="B79" s="63" t="s">
        <v>140</v>
      </c>
      <c r="C79" s="77">
        <f>C81+C82</f>
        <v>0</v>
      </c>
      <c r="D79" s="78"/>
      <c r="E79" s="78"/>
      <c r="F79" s="78"/>
      <c r="G79" s="78"/>
      <c r="H79" s="78"/>
      <c r="I79" s="78"/>
      <c r="J79" s="78"/>
      <c r="K79" s="77">
        <f>K81+K82</f>
        <v>0</v>
      </c>
      <c r="L79" s="77">
        <f t="shared" si="2"/>
        <v>0</v>
      </c>
      <c r="S79" s="77">
        <f>S81+S82</f>
        <v>0</v>
      </c>
      <c r="T79" s="77"/>
      <c r="U79" s="73"/>
      <c r="V79" s="73"/>
      <c r="W79" s="73"/>
      <c r="X79" s="73"/>
      <c r="Y79" s="73"/>
      <c r="Z79" s="247"/>
      <c r="AA79" s="77">
        <f>AA81+AA82</f>
        <v>0</v>
      </c>
      <c r="AB79" s="77">
        <f>S79+AA79</f>
        <v>0</v>
      </c>
    </row>
    <row r="80" spans="1:28" ht="16.5" hidden="1">
      <c r="A80" s="59"/>
      <c r="B80" s="63" t="s">
        <v>136</v>
      </c>
      <c r="C80" s="77"/>
      <c r="D80" s="78"/>
      <c r="E80" s="78"/>
      <c r="F80" s="78"/>
      <c r="G80" s="78"/>
      <c r="H80" s="78"/>
      <c r="I80" s="78"/>
      <c r="J80" s="78"/>
      <c r="K80" s="77"/>
      <c r="L80" s="77">
        <f t="shared" si="2"/>
        <v>0</v>
      </c>
      <c r="S80" s="77"/>
      <c r="T80" s="77"/>
      <c r="U80" s="73"/>
      <c r="V80" s="73"/>
      <c r="W80" s="73"/>
      <c r="X80" s="73"/>
      <c r="Y80" s="73"/>
      <c r="Z80" s="247"/>
      <c r="AA80" s="77"/>
      <c r="AB80" s="77">
        <f>S80+AA80</f>
        <v>0</v>
      </c>
    </row>
    <row r="81" spans="1:28" ht="16.5" hidden="1">
      <c r="A81" s="59"/>
      <c r="B81" s="63" t="s">
        <v>141</v>
      </c>
      <c r="C81" s="77">
        <f>0</f>
        <v>0</v>
      </c>
      <c r="D81" s="78"/>
      <c r="E81" s="78"/>
      <c r="F81" s="78"/>
      <c r="G81" s="78"/>
      <c r="H81" s="78"/>
      <c r="I81" s="78"/>
      <c r="J81" s="78"/>
      <c r="K81" s="77">
        <v>0</v>
      </c>
      <c r="L81" s="77">
        <f t="shared" si="2"/>
        <v>0</v>
      </c>
      <c r="S81" s="77">
        <f>0</f>
        <v>0</v>
      </c>
      <c r="T81" s="77"/>
      <c r="U81" s="73"/>
      <c r="V81" s="73"/>
      <c r="W81" s="73"/>
      <c r="X81" s="73"/>
      <c r="Y81" s="73"/>
      <c r="Z81" s="247"/>
      <c r="AA81" s="77">
        <v>0</v>
      </c>
      <c r="AB81" s="77">
        <f>S81+AA81</f>
        <v>0</v>
      </c>
    </row>
    <row r="82" spans="1:28" ht="16.5" hidden="1">
      <c r="A82" s="59"/>
      <c r="B82" s="63" t="s">
        <v>142</v>
      </c>
      <c r="C82" s="77">
        <f>0</f>
        <v>0</v>
      </c>
      <c r="D82" s="78"/>
      <c r="E82" s="78"/>
      <c r="F82" s="78"/>
      <c r="G82" s="78"/>
      <c r="H82" s="78"/>
      <c r="I82" s="78"/>
      <c r="J82" s="78"/>
      <c r="K82" s="77">
        <v>0</v>
      </c>
      <c r="L82" s="77">
        <f t="shared" si="2"/>
        <v>0</v>
      </c>
      <c r="S82" s="77">
        <f>0</f>
        <v>0</v>
      </c>
      <c r="T82" s="77"/>
      <c r="U82" s="73"/>
      <c r="V82" s="73"/>
      <c r="W82" s="73"/>
      <c r="X82" s="73"/>
      <c r="Y82" s="73"/>
      <c r="Z82" s="247"/>
      <c r="AA82" s="77">
        <v>0</v>
      </c>
      <c r="AB82" s="77">
        <f>S82+AA82</f>
        <v>0</v>
      </c>
    </row>
    <row r="83" spans="1:28" ht="38.25" customHeight="1">
      <c r="A83" s="59" t="s">
        <v>143</v>
      </c>
      <c r="B83" s="63" t="s">
        <v>376</v>
      </c>
      <c r="C83" s="77">
        <f>C85+C86+C87+C88</f>
        <v>4161.1</v>
      </c>
      <c r="D83" s="78">
        <f aca="true" t="shared" si="42" ref="D83:J83">D85+D86+D87+D88</f>
        <v>0</v>
      </c>
      <c r="E83" s="78">
        <f t="shared" si="42"/>
        <v>3</v>
      </c>
      <c r="F83" s="78">
        <f t="shared" si="42"/>
        <v>3</v>
      </c>
      <c r="G83" s="78">
        <f t="shared" si="42"/>
        <v>3</v>
      </c>
      <c r="H83" s="78">
        <f t="shared" si="42"/>
        <v>3</v>
      </c>
      <c r="I83" s="78">
        <f t="shared" si="42"/>
        <v>3</v>
      </c>
      <c r="J83" s="78">
        <f t="shared" si="42"/>
        <v>3</v>
      </c>
      <c r="K83" s="77">
        <f>K85+K86+K87+K88</f>
        <v>0</v>
      </c>
      <c r="L83" s="77">
        <f>C83+K83-K87</f>
        <v>4161.1</v>
      </c>
      <c r="S83" s="77">
        <f>S85+S86+S87+S88</f>
        <v>3909.3</v>
      </c>
      <c r="T83" s="77">
        <f aca="true" t="shared" si="43" ref="T83:Z83">T85+T86+T87+T88</f>
        <v>0</v>
      </c>
      <c r="U83" s="73">
        <f t="shared" si="43"/>
        <v>0</v>
      </c>
      <c r="V83" s="73">
        <f t="shared" si="43"/>
        <v>0</v>
      </c>
      <c r="W83" s="73">
        <f t="shared" si="43"/>
        <v>0</v>
      </c>
      <c r="X83" s="73">
        <f t="shared" si="43"/>
        <v>0</v>
      </c>
      <c r="Y83" s="73">
        <f t="shared" si="43"/>
        <v>0</v>
      </c>
      <c r="Z83" s="73">
        <f t="shared" si="43"/>
        <v>0</v>
      </c>
      <c r="AA83" s="77">
        <f>AA85+AA86+AA87+AA88</f>
        <v>0</v>
      </c>
      <c r="AB83" s="77">
        <f>S83+AA83-AA87</f>
        <v>3909.3</v>
      </c>
    </row>
    <row r="84" spans="1:28" ht="16.5" hidden="1">
      <c r="A84" s="59"/>
      <c r="B84" s="63" t="s">
        <v>136</v>
      </c>
      <c r="C84" s="77"/>
      <c r="D84" s="78"/>
      <c r="E84" s="78"/>
      <c r="F84" s="78"/>
      <c r="G84" s="78"/>
      <c r="H84" s="78"/>
      <c r="I84" s="78"/>
      <c r="J84" s="78"/>
      <c r="K84" s="77"/>
      <c r="L84" s="77">
        <f aca="true" t="shared" si="44" ref="L84:L147">C84+K84</f>
        <v>0</v>
      </c>
      <c r="S84" s="77"/>
      <c r="T84" s="77"/>
      <c r="U84" s="73"/>
      <c r="V84" s="73"/>
      <c r="W84" s="73"/>
      <c r="X84" s="73"/>
      <c r="Y84" s="73"/>
      <c r="Z84" s="73"/>
      <c r="AA84" s="77"/>
      <c r="AB84" s="77">
        <f>S84+AA84</f>
        <v>0</v>
      </c>
    </row>
    <row r="85" spans="1:28" ht="37.5" customHeight="1">
      <c r="A85" s="59"/>
      <c r="B85" s="63" t="s">
        <v>144</v>
      </c>
      <c r="C85" s="77">
        <v>3594.4</v>
      </c>
      <c r="D85" s="78"/>
      <c r="E85" s="78"/>
      <c r="F85" s="78"/>
      <c r="G85" s="78"/>
      <c r="H85" s="78"/>
      <c r="I85" s="78"/>
      <c r="J85" s="78"/>
      <c r="K85" s="77">
        <f>D85+E85+F85+G85+H85+I85+J85</f>
        <v>0</v>
      </c>
      <c r="L85" s="77">
        <f t="shared" si="44"/>
        <v>3594.4</v>
      </c>
      <c r="S85" s="77">
        <f>3500</f>
        <v>3500</v>
      </c>
      <c r="T85" s="77"/>
      <c r="U85" s="73"/>
      <c r="V85" s="73"/>
      <c r="W85" s="73"/>
      <c r="X85" s="73"/>
      <c r="Y85" s="73"/>
      <c r="Z85" s="73"/>
      <c r="AA85" s="77">
        <f>T85+U85+V85+W85+X85+Y85+Z85</f>
        <v>0</v>
      </c>
      <c r="AB85" s="77">
        <f>S85+AA85</f>
        <v>3500</v>
      </c>
    </row>
    <row r="86" spans="1:28" ht="33">
      <c r="A86" s="59"/>
      <c r="B86" s="63" t="s">
        <v>383</v>
      </c>
      <c r="C86" s="77">
        <v>566.7</v>
      </c>
      <c r="D86" s="78"/>
      <c r="E86" s="78"/>
      <c r="F86" s="78"/>
      <c r="G86" s="78"/>
      <c r="H86" s="78"/>
      <c r="I86" s="78"/>
      <c r="J86" s="78"/>
      <c r="K86" s="77">
        <f>D86+E86+F86+G86+H86+I86+J86</f>
        <v>0</v>
      </c>
      <c r="L86" s="77">
        <f t="shared" si="44"/>
        <v>566.7</v>
      </c>
      <c r="M86" s="3">
        <v>1</v>
      </c>
      <c r="N86" s="3" t="s">
        <v>270</v>
      </c>
      <c r="O86" s="3">
        <v>2400</v>
      </c>
      <c r="P86" s="3" t="s">
        <v>271</v>
      </c>
      <c r="S86" s="77">
        <f>329.3</f>
        <v>329.3</v>
      </c>
      <c r="T86" s="77"/>
      <c r="U86" s="73"/>
      <c r="V86" s="73"/>
      <c r="W86" s="73"/>
      <c r="X86" s="73"/>
      <c r="Y86" s="73"/>
      <c r="Z86" s="73"/>
      <c r="AA86" s="77">
        <f>T86+U86+V86+W86+X86+Y86+Z86</f>
        <v>0</v>
      </c>
      <c r="AB86" s="77">
        <f>S86+AA86</f>
        <v>329.3</v>
      </c>
    </row>
    <row r="87" spans="1:28" ht="16.5" hidden="1">
      <c r="A87" s="80"/>
      <c r="B87" s="81" t="s">
        <v>72</v>
      </c>
      <c r="C87" s="77"/>
      <c r="D87" s="78"/>
      <c r="E87" s="78"/>
      <c r="F87" s="78"/>
      <c r="G87" s="78"/>
      <c r="H87" s="78"/>
      <c r="I87" s="78"/>
      <c r="J87" s="78"/>
      <c r="K87" s="77"/>
      <c r="L87" s="82"/>
      <c r="S87" s="77"/>
      <c r="T87" s="77"/>
      <c r="U87" s="85"/>
      <c r="V87" s="85"/>
      <c r="W87" s="85"/>
      <c r="X87" s="85"/>
      <c r="Y87" s="85"/>
      <c r="Z87" s="85"/>
      <c r="AA87" s="77">
        <f>T87+U87+V87+W87+X87+Y87+Z87</f>
        <v>0</v>
      </c>
      <c r="AB87" s="82"/>
    </row>
    <row r="88" spans="1:28" ht="29.25" customHeight="1">
      <c r="A88" s="59"/>
      <c r="B88" s="86" t="s">
        <v>100</v>
      </c>
      <c r="C88" s="77">
        <v>0</v>
      </c>
      <c r="D88" s="78"/>
      <c r="E88" s="78">
        <v>3</v>
      </c>
      <c r="F88" s="78">
        <v>3</v>
      </c>
      <c r="G88" s="78">
        <v>3</v>
      </c>
      <c r="H88" s="78">
        <v>3</v>
      </c>
      <c r="I88" s="78">
        <v>3</v>
      </c>
      <c r="J88" s="78">
        <v>3</v>
      </c>
      <c r="K88" s="77">
        <v>0</v>
      </c>
      <c r="L88" s="77">
        <f t="shared" si="44"/>
        <v>0</v>
      </c>
      <c r="S88" s="77">
        <f>80</f>
        <v>80</v>
      </c>
      <c r="T88" s="77"/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73">
        <v>0</v>
      </c>
      <c r="AA88" s="77">
        <f>T88+U88+V88+W88+X88+Y88+Z88</f>
        <v>0</v>
      </c>
      <c r="AB88" s="77">
        <f aca="true" t="shared" si="45" ref="AB88:AB96">S88+AA88</f>
        <v>80</v>
      </c>
    </row>
    <row r="89" spans="1:28" ht="35.25" customHeight="1">
      <c r="A89" s="59" t="s">
        <v>146</v>
      </c>
      <c r="B89" s="86" t="s">
        <v>377</v>
      </c>
      <c r="C89" s="77">
        <f>C91+C92+C93</f>
        <v>20348.3</v>
      </c>
      <c r="D89" s="78">
        <f aca="true" t="shared" si="46" ref="D89:J89">D91+D92+D93</f>
        <v>0</v>
      </c>
      <c r="E89" s="78">
        <f t="shared" si="46"/>
        <v>0</v>
      </c>
      <c r="F89" s="78">
        <f t="shared" si="46"/>
        <v>0</v>
      </c>
      <c r="G89" s="78">
        <f t="shared" si="46"/>
        <v>0</v>
      </c>
      <c r="H89" s="78">
        <f t="shared" si="46"/>
        <v>0</v>
      </c>
      <c r="I89" s="78">
        <f t="shared" si="46"/>
        <v>0</v>
      </c>
      <c r="J89" s="78">
        <f t="shared" si="46"/>
        <v>0</v>
      </c>
      <c r="K89" s="77">
        <f>K91+K92+K93</f>
        <v>0</v>
      </c>
      <c r="L89" s="77">
        <f t="shared" si="44"/>
        <v>20348.3</v>
      </c>
      <c r="S89" s="77">
        <f>S91+S92+S93</f>
        <v>23351.3</v>
      </c>
      <c r="T89" s="77">
        <f aca="true" t="shared" si="47" ref="T89:Z89">T91+T92+T93</f>
        <v>0</v>
      </c>
      <c r="U89" s="73">
        <f t="shared" si="47"/>
        <v>0</v>
      </c>
      <c r="V89" s="73">
        <f t="shared" si="47"/>
        <v>0</v>
      </c>
      <c r="W89" s="73">
        <f t="shared" si="47"/>
        <v>0</v>
      </c>
      <c r="X89" s="73">
        <f t="shared" si="47"/>
        <v>0</v>
      </c>
      <c r="Y89" s="73">
        <f t="shared" si="47"/>
        <v>0</v>
      </c>
      <c r="Z89" s="73">
        <f t="shared" si="47"/>
        <v>0</v>
      </c>
      <c r="AA89" s="77">
        <f>T89+U89+V89+W89+X89+Y89+Z89</f>
        <v>0</v>
      </c>
      <c r="AB89" s="77">
        <f t="shared" si="45"/>
        <v>23351.3</v>
      </c>
    </row>
    <row r="90" spans="1:28" ht="16.5" hidden="1">
      <c r="A90" s="59"/>
      <c r="B90" s="86" t="s">
        <v>136</v>
      </c>
      <c r="C90" s="77"/>
      <c r="D90" s="78"/>
      <c r="E90" s="78"/>
      <c r="F90" s="78"/>
      <c r="G90" s="78"/>
      <c r="H90" s="78"/>
      <c r="I90" s="78"/>
      <c r="J90" s="78"/>
      <c r="K90" s="77"/>
      <c r="L90" s="77">
        <f t="shared" si="44"/>
        <v>0</v>
      </c>
      <c r="S90" s="77"/>
      <c r="T90" s="77"/>
      <c r="U90" s="73"/>
      <c r="V90" s="73"/>
      <c r="W90" s="73"/>
      <c r="X90" s="73"/>
      <c r="Y90" s="73"/>
      <c r="Z90" s="247"/>
      <c r="AA90" s="77"/>
      <c r="AB90" s="77">
        <f t="shared" si="45"/>
        <v>0</v>
      </c>
    </row>
    <row r="91" spans="1:28" ht="16.5">
      <c r="A91" s="59"/>
      <c r="B91" s="63" t="s">
        <v>147</v>
      </c>
      <c r="C91" s="77">
        <v>2200.6</v>
      </c>
      <c r="D91" s="78"/>
      <c r="E91" s="78"/>
      <c r="F91" s="78"/>
      <c r="G91" s="78"/>
      <c r="H91" s="78"/>
      <c r="I91" s="78"/>
      <c r="J91" s="78"/>
      <c r="K91" s="77">
        <f>D91+E91+F91+G91+H91+I91+J91</f>
        <v>0</v>
      </c>
      <c r="L91" s="77">
        <f t="shared" si="44"/>
        <v>2200.6</v>
      </c>
      <c r="S91" s="77">
        <f>2975</f>
        <v>2975</v>
      </c>
      <c r="T91" s="77"/>
      <c r="U91" s="73"/>
      <c r="V91" s="73"/>
      <c r="W91" s="73"/>
      <c r="X91" s="73"/>
      <c r="Y91" s="73"/>
      <c r="Z91" s="247"/>
      <c r="AA91" s="77">
        <f>T91+U91+V91+W91+X91+Y91+Z91</f>
        <v>0</v>
      </c>
      <c r="AB91" s="77">
        <f t="shared" si="45"/>
        <v>2975</v>
      </c>
    </row>
    <row r="92" spans="1:28" ht="49.5">
      <c r="A92" s="59"/>
      <c r="B92" s="63" t="s">
        <v>275</v>
      </c>
      <c r="C92" s="77">
        <v>17647.7</v>
      </c>
      <c r="D92" s="78"/>
      <c r="E92" s="78"/>
      <c r="F92" s="78"/>
      <c r="G92" s="78"/>
      <c r="H92" s="78"/>
      <c r="I92" s="78"/>
      <c r="J92" s="78"/>
      <c r="K92" s="77">
        <f>D92+E92+F92+G92+H92+I92+J92</f>
        <v>0</v>
      </c>
      <c r="L92" s="77">
        <f t="shared" si="44"/>
        <v>17647.7</v>
      </c>
      <c r="M92" s="3">
        <v>100</v>
      </c>
      <c r="N92" s="3" t="s">
        <v>270</v>
      </c>
      <c r="S92" s="77">
        <f>19854.8</f>
        <v>19854.8</v>
      </c>
      <c r="T92" s="77"/>
      <c r="U92" s="73"/>
      <c r="V92" s="73"/>
      <c r="W92" s="73"/>
      <c r="X92" s="73"/>
      <c r="Y92" s="73"/>
      <c r="Z92" s="247"/>
      <c r="AA92" s="77">
        <f>T92+U92+V92+W92+X92+Y92+Z92</f>
        <v>0</v>
      </c>
      <c r="AB92" s="77">
        <f t="shared" si="45"/>
        <v>19854.8</v>
      </c>
    </row>
    <row r="93" spans="1:28" ht="16.5">
      <c r="A93" s="59"/>
      <c r="B93" s="63" t="s">
        <v>100</v>
      </c>
      <c r="C93" s="77">
        <v>500</v>
      </c>
      <c r="D93" s="78"/>
      <c r="E93" s="78"/>
      <c r="F93" s="78"/>
      <c r="G93" s="78"/>
      <c r="H93" s="78"/>
      <c r="I93" s="78"/>
      <c r="J93" s="78"/>
      <c r="K93" s="77">
        <f>D93+E93+F93+G93+H93+I93+J93</f>
        <v>0</v>
      </c>
      <c r="L93" s="77">
        <f t="shared" si="44"/>
        <v>500</v>
      </c>
      <c r="S93" s="77">
        <f>521.5</f>
        <v>521.5</v>
      </c>
      <c r="T93" s="77"/>
      <c r="U93" s="73"/>
      <c r="V93" s="73"/>
      <c r="W93" s="73"/>
      <c r="X93" s="73"/>
      <c r="Y93" s="73"/>
      <c r="Z93" s="247"/>
      <c r="AA93" s="77">
        <f>T93+U93+V93+W93+X93+Y93+Z93</f>
        <v>0</v>
      </c>
      <c r="AB93" s="77">
        <f t="shared" si="45"/>
        <v>521.5</v>
      </c>
    </row>
    <row r="94" spans="1:28" s="1" customFormat="1" ht="22.5" customHeight="1">
      <c r="A94" s="228" t="s">
        <v>150</v>
      </c>
      <c r="B94" s="229" t="s">
        <v>151</v>
      </c>
      <c r="C94" s="85">
        <f>C95+C100</f>
        <v>54020.3</v>
      </c>
      <c r="D94" s="232">
        <f aca="true" t="shared" si="48" ref="D94:J94">D95+D100</f>
        <v>0</v>
      </c>
      <c r="E94" s="232">
        <f t="shared" si="48"/>
        <v>0</v>
      </c>
      <c r="F94" s="232">
        <f t="shared" si="48"/>
        <v>0</v>
      </c>
      <c r="G94" s="232">
        <f t="shared" si="48"/>
        <v>0</v>
      </c>
      <c r="H94" s="232">
        <f t="shared" si="48"/>
        <v>0</v>
      </c>
      <c r="I94" s="232">
        <f t="shared" si="48"/>
        <v>0</v>
      </c>
      <c r="J94" s="232">
        <f t="shared" si="48"/>
        <v>0</v>
      </c>
      <c r="K94" s="85">
        <f>K95+K100</f>
        <v>0</v>
      </c>
      <c r="L94" s="85">
        <f t="shared" si="44"/>
        <v>54020.3</v>
      </c>
      <c r="M94" s="134"/>
      <c r="N94" s="134"/>
      <c r="O94" s="134"/>
      <c r="P94" s="134"/>
      <c r="Q94" s="134"/>
      <c r="R94" s="233"/>
      <c r="S94" s="85">
        <f>S95+S100</f>
        <v>59689.2</v>
      </c>
      <c r="T94" s="85">
        <f aca="true" t="shared" si="49" ref="T94:Z94">T95+T100</f>
        <v>0</v>
      </c>
      <c r="U94" s="85">
        <f t="shared" si="49"/>
        <v>0</v>
      </c>
      <c r="V94" s="85">
        <f t="shared" si="49"/>
        <v>0</v>
      </c>
      <c r="W94" s="85">
        <f t="shared" si="49"/>
        <v>0</v>
      </c>
      <c r="X94" s="85">
        <f t="shared" si="49"/>
        <v>0</v>
      </c>
      <c r="Y94" s="85">
        <f t="shared" si="49"/>
        <v>0</v>
      </c>
      <c r="Z94" s="85">
        <f t="shared" si="49"/>
        <v>0</v>
      </c>
      <c r="AA94" s="85">
        <f>AA95+AA100</f>
        <v>0</v>
      </c>
      <c r="AB94" s="85">
        <f t="shared" si="45"/>
        <v>59689.2</v>
      </c>
    </row>
    <row r="95" spans="1:28" ht="23.25" customHeight="1">
      <c r="A95" s="59" t="s">
        <v>152</v>
      </c>
      <c r="B95" s="63" t="s">
        <v>358</v>
      </c>
      <c r="C95" s="77">
        <f aca="true" t="shared" si="50" ref="C95:J95">C96+C97+C98+C99</f>
        <v>50916.3</v>
      </c>
      <c r="D95" s="78">
        <f t="shared" si="50"/>
        <v>0</v>
      </c>
      <c r="E95" s="78">
        <f t="shared" si="50"/>
        <v>0</v>
      </c>
      <c r="F95" s="78"/>
      <c r="G95" s="78">
        <f t="shared" si="50"/>
        <v>0</v>
      </c>
      <c r="H95" s="78">
        <f t="shared" si="50"/>
        <v>0</v>
      </c>
      <c r="I95" s="78">
        <f t="shared" si="50"/>
        <v>0</v>
      </c>
      <c r="J95" s="78">
        <f t="shared" si="50"/>
        <v>0</v>
      </c>
      <c r="K95" s="77">
        <f>K96+K97+K98+K99</f>
        <v>0</v>
      </c>
      <c r="L95" s="77">
        <f t="shared" si="44"/>
        <v>50916.3</v>
      </c>
      <c r="S95" s="77">
        <f>S96+S97+S98+S99</f>
        <v>47346.6</v>
      </c>
      <c r="T95" s="77">
        <f>T96+T97+T98+T99</f>
        <v>0</v>
      </c>
      <c r="U95" s="73">
        <f aca="true" t="shared" si="51" ref="U95:Z95">U96+U97+U98+U99</f>
        <v>0</v>
      </c>
      <c r="V95" s="73"/>
      <c r="W95" s="73">
        <f t="shared" si="51"/>
        <v>0</v>
      </c>
      <c r="X95" s="73">
        <f t="shared" si="51"/>
        <v>0</v>
      </c>
      <c r="Y95" s="73">
        <f t="shared" si="51"/>
        <v>0</v>
      </c>
      <c r="Z95" s="73">
        <f t="shared" si="51"/>
        <v>0</v>
      </c>
      <c r="AA95" s="77">
        <f>AA96+AA97+AA98+AA99</f>
        <v>0</v>
      </c>
      <c r="AB95" s="77">
        <f t="shared" si="45"/>
        <v>47346.6</v>
      </c>
    </row>
    <row r="96" spans="1:28" ht="33">
      <c r="A96" s="59"/>
      <c r="B96" s="63" t="s">
        <v>359</v>
      </c>
      <c r="C96" s="77">
        <v>50916.3</v>
      </c>
      <c r="D96" s="78"/>
      <c r="E96" s="78"/>
      <c r="F96" s="78"/>
      <c r="G96" s="78"/>
      <c r="H96" s="78"/>
      <c r="I96" s="78"/>
      <c r="J96" s="78"/>
      <c r="K96" s="77">
        <f>D96+E96+F96+G96+H96+I96+J96</f>
        <v>0</v>
      </c>
      <c r="L96" s="77">
        <f t="shared" si="44"/>
        <v>50916.3</v>
      </c>
      <c r="S96" s="77">
        <f>47346.6</f>
        <v>47346.6</v>
      </c>
      <c r="T96" s="77"/>
      <c r="U96" s="73"/>
      <c r="V96" s="73"/>
      <c r="W96" s="73"/>
      <c r="X96" s="73"/>
      <c r="Y96" s="73"/>
      <c r="Z96" s="73"/>
      <c r="AA96" s="77">
        <f>T96+U96+V96+W96+X96+Y96+Z96</f>
        <v>0</v>
      </c>
      <c r="AB96" s="77">
        <f t="shared" si="45"/>
        <v>47346.6</v>
      </c>
    </row>
    <row r="97" spans="1:28" ht="16.5" hidden="1">
      <c r="A97" s="59"/>
      <c r="B97" s="63" t="s">
        <v>278</v>
      </c>
      <c r="C97" s="77"/>
      <c r="D97" s="78"/>
      <c r="E97" s="78"/>
      <c r="F97" s="78"/>
      <c r="G97" s="78"/>
      <c r="H97" s="78"/>
      <c r="I97" s="78"/>
      <c r="J97" s="78"/>
      <c r="K97" s="77">
        <f>D97+E97+F97+G97+H97+I97+J97</f>
        <v>0</v>
      </c>
      <c r="L97" s="77"/>
      <c r="S97" s="77"/>
      <c r="T97" s="77"/>
      <c r="U97" s="73"/>
      <c r="V97" s="73"/>
      <c r="W97" s="73"/>
      <c r="X97" s="73"/>
      <c r="Y97" s="73"/>
      <c r="Z97" s="73"/>
      <c r="AA97" s="77">
        <f>T97+U97+V97+W97+X97+Y97+Z97</f>
        <v>0</v>
      </c>
      <c r="AB97" s="77"/>
    </row>
    <row r="98" spans="1:28" ht="16.5" hidden="1">
      <c r="A98" s="59"/>
      <c r="B98" s="63" t="s">
        <v>279</v>
      </c>
      <c r="C98" s="77"/>
      <c r="D98" s="78"/>
      <c r="E98" s="78"/>
      <c r="F98" s="78"/>
      <c r="G98" s="78"/>
      <c r="H98" s="78"/>
      <c r="I98" s="78"/>
      <c r="J98" s="78"/>
      <c r="K98" s="77">
        <f>D98+E98+F98+G98+H98+I98+J98</f>
        <v>0</v>
      </c>
      <c r="L98" s="77">
        <f t="shared" si="44"/>
        <v>0</v>
      </c>
      <c r="S98" s="77"/>
      <c r="T98" s="77"/>
      <c r="U98" s="73"/>
      <c r="V98" s="73"/>
      <c r="W98" s="73"/>
      <c r="X98" s="73"/>
      <c r="Y98" s="73"/>
      <c r="Z98" s="73"/>
      <c r="AA98" s="77">
        <f>T98+U98+V98+W98+X98+Y98+Z98</f>
        <v>0</v>
      </c>
      <c r="AB98" s="77">
        <f aca="true" t="shared" si="52" ref="AB98:AB122">S98+AA98</f>
        <v>0</v>
      </c>
    </row>
    <row r="99" spans="1:28" ht="16.5" hidden="1">
      <c r="A99" s="59"/>
      <c r="B99" s="63" t="s">
        <v>270</v>
      </c>
      <c r="C99" s="77"/>
      <c r="D99" s="78"/>
      <c r="E99" s="78"/>
      <c r="F99" s="78"/>
      <c r="G99" s="78"/>
      <c r="H99" s="78"/>
      <c r="I99" s="78"/>
      <c r="J99" s="78"/>
      <c r="K99" s="77">
        <f>D99+E99+F99+G99+H99+I99+J99</f>
        <v>0</v>
      </c>
      <c r="L99" s="77">
        <f t="shared" si="44"/>
        <v>0</v>
      </c>
      <c r="M99" s="3">
        <v>160</v>
      </c>
      <c r="N99" s="3" t="s">
        <v>270</v>
      </c>
      <c r="S99" s="77"/>
      <c r="T99" s="77"/>
      <c r="U99" s="73"/>
      <c r="V99" s="73"/>
      <c r="W99" s="73"/>
      <c r="X99" s="73"/>
      <c r="Y99" s="73"/>
      <c r="Z99" s="73"/>
      <c r="AA99" s="77">
        <f>T99+U99+V99+W99+X99+Y99+Z99</f>
        <v>0</v>
      </c>
      <c r="AB99" s="77">
        <f t="shared" si="52"/>
        <v>0</v>
      </c>
    </row>
    <row r="100" spans="1:28" ht="21" customHeight="1">
      <c r="A100" s="59" t="s">
        <v>154</v>
      </c>
      <c r="B100" s="63" t="s">
        <v>378</v>
      </c>
      <c r="C100" s="77">
        <f aca="true" t="shared" si="53" ref="C100:J100">C102+C103+C104</f>
        <v>3104</v>
      </c>
      <c r="D100" s="78">
        <f t="shared" si="53"/>
        <v>0</v>
      </c>
      <c r="E100" s="78">
        <f t="shared" si="53"/>
        <v>0</v>
      </c>
      <c r="F100" s="78"/>
      <c r="G100" s="78">
        <f t="shared" si="53"/>
        <v>0</v>
      </c>
      <c r="H100" s="78">
        <f t="shared" si="53"/>
        <v>0</v>
      </c>
      <c r="I100" s="78">
        <f t="shared" si="53"/>
        <v>0</v>
      </c>
      <c r="J100" s="78">
        <f t="shared" si="53"/>
        <v>0</v>
      </c>
      <c r="K100" s="77">
        <f>K102+K103+K104</f>
        <v>0</v>
      </c>
      <c r="L100" s="77">
        <f t="shared" si="44"/>
        <v>3104</v>
      </c>
      <c r="S100" s="77">
        <f>S102+S103+S104</f>
        <v>12342.599999999999</v>
      </c>
      <c r="T100" s="77">
        <f>T102+T103+T104</f>
        <v>0</v>
      </c>
      <c r="U100" s="73">
        <f aca="true" t="shared" si="54" ref="U100:Z100">U102+U103+U104</f>
        <v>0</v>
      </c>
      <c r="V100" s="73"/>
      <c r="W100" s="73">
        <f t="shared" si="54"/>
        <v>0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7">
        <f>AA102+AA103+AA104</f>
        <v>0</v>
      </c>
      <c r="AB100" s="77">
        <f t="shared" si="52"/>
        <v>12342.599999999999</v>
      </c>
    </row>
    <row r="101" spans="1:28" ht="16.5" hidden="1">
      <c r="A101" s="59"/>
      <c r="B101" s="63" t="s">
        <v>136</v>
      </c>
      <c r="C101" s="77"/>
      <c r="D101" s="78"/>
      <c r="E101" s="78"/>
      <c r="F101" s="78"/>
      <c r="G101" s="78"/>
      <c r="H101" s="78"/>
      <c r="I101" s="78"/>
      <c r="J101" s="78"/>
      <c r="K101" s="77"/>
      <c r="L101" s="77">
        <f t="shared" si="44"/>
        <v>0</v>
      </c>
      <c r="S101" s="77"/>
      <c r="T101" s="77"/>
      <c r="U101" s="73"/>
      <c r="V101" s="73"/>
      <c r="W101" s="73"/>
      <c r="X101" s="73"/>
      <c r="Y101" s="73"/>
      <c r="Z101" s="247"/>
      <c r="AA101" s="77"/>
      <c r="AB101" s="77">
        <f t="shared" si="52"/>
        <v>0</v>
      </c>
    </row>
    <row r="102" spans="1:28" ht="16.5">
      <c r="A102" s="59"/>
      <c r="B102" s="63" t="s">
        <v>147</v>
      </c>
      <c r="C102" s="77">
        <v>745</v>
      </c>
      <c r="D102" s="78"/>
      <c r="E102" s="78"/>
      <c r="F102" s="78"/>
      <c r="G102" s="78"/>
      <c r="H102" s="78"/>
      <c r="I102" s="78"/>
      <c r="J102" s="78"/>
      <c r="K102" s="77">
        <f>D102+E102+F102+G102+H102+I102+J102</f>
        <v>0</v>
      </c>
      <c r="L102" s="77">
        <f t="shared" si="44"/>
        <v>745</v>
      </c>
      <c r="S102" s="77">
        <f>943.3</f>
        <v>943.3</v>
      </c>
      <c r="T102" s="77"/>
      <c r="U102" s="73"/>
      <c r="V102" s="73"/>
      <c r="W102" s="73"/>
      <c r="X102" s="73"/>
      <c r="Y102" s="73"/>
      <c r="Z102" s="247"/>
      <c r="AA102" s="77">
        <f>T102+U102+V102+W102+X102+Y102+Z102</f>
        <v>0</v>
      </c>
      <c r="AB102" s="77">
        <f t="shared" si="52"/>
        <v>943.3</v>
      </c>
    </row>
    <row r="103" spans="1:28" ht="49.5">
      <c r="A103" s="59"/>
      <c r="B103" s="63" t="s">
        <v>148</v>
      </c>
      <c r="C103" s="77">
        <v>2059</v>
      </c>
      <c r="D103" s="78"/>
      <c r="E103" s="78"/>
      <c r="F103" s="78"/>
      <c r="G103" s="78"/>
      <c r="H103" s="78"/>
      <c r="I103" s="78"/>
      <c r="J103" s="78"/>
      <c r="K103" s="77">
        <f>D103+E103+F103+G103+H103+I103+J103</f>
        <v>0</v>
      </c>
      <c r="L103" s="77">
        <f t="shared" si="44"/>
        <v>2059</v>
      </c>
      <c r="M103" s="3">
        <v>5</v>
      </c>
      <c r="N103" s="3" t="s">
        <v>270</v>
      </c>
      <c r="S103" s="77">
        <f>11199.3</f>
        <v>11199.3</v>
      </c>
      <c r="T103" s="77"/>
      <c r="U103" s="73"/>
      <c r="V103" s="73"/>
      <c r="W103" s="73"/>
      <c r="X103" s="73"/>
      <c r="Y103" s="73"/>
      <c r="Z103" s="247"/>
      <c r="AA103" s="77">
        <f>T103+U103+V103+W103+X103+Y103+Z103</f>
        <v>0</v>
      </c>
      <c r="AB103" s="77">
        <f t="shared" si="52"/>
        <v>11199.3</v>
      </c>
    </row>
    <row r="104" spans="1:28" ht="16.5">
      <c r="A104" s="59"/>
      <c r="B104" s="63" t="s">
        <v>100</v>
      </c>
      <c r="C104" s="77">
        <v>300</v>
      </c>
      <c r="D104" s="78"/>
      <c r="E104" s="78"/>
      <c r="F104" s="78"/>
      <c r="G104" s="78"/>
      <c r="H104" s="78"/>
      <c r="I104" s="78"/>
      <c r="J104" s="78"/>
      <c r="K104" s="77">
        <f>D104+E104+F104+G104+H104+I104+J104</f>
        <v>0</v>
      </c>
      <c r="L104" s="77">
        <f t="shared" si="44"/>
        <v>300</v>
      </c>
      <c r="S104" s="77">
        <f>200</f>
        <v>200</v>
      </c>
      <c r="T104" s="77"/>
      <c r="U104" s="73"/>
      <c r="V104" s="73"/>
      <c r="W104" s="73"/>
      <c r="X104" s="73"/>
      <c r="Y104" s="73"/>
      <c r="Z104" s="247"/>
      <c r="AA104" s="77">
        <f>T104+U104+V104+W104+X104+Y104+Z104</f>
        <v>0</v>
      </c>
      <c r="AB104" s="77">
        <f t="shared" si="52"/>
        <v>200</v>
      </c>
    </row>
    <row r="105" spans="1:28" ht="16.5" hidden="1">
      <c r="A105" s="59" t="s">
        <v>158</v>
      </c>
      <c r="B105" s="63" t="s">
        <v>159</v>
      </c>
      <c r="C105" s="77">
        <f>C106+C107+C108+C109</f>
        <v>0</v>
      </c>
      <c r="D105" s="78"/>
      <c r="E105" s="78"/>
      <c r="F105" s="78"/>
      <c r="G105" s="78"/>
      <c r="H105" s="78"/>
      <c r="I105" s="78"/>
      <c r="J105" s="78"/>
      <c r="K105" s="77">
        <f>K106+K107+K108+K109</f>
        <v>0</v>
      </c>
      <c r="L105" s="77">
        <f t="shared" si="44"/>
        <v>0</v>
      </c>
      <c r="S105" s="77">
        <f>S106+S107+S108+S109</f>
        <v>0</v>
      </c>
      <c r="T105" s="77"/>
      <c r="U105" s="73"/>
      <c r="V105" s="73"/>
      <c r="W105" s="73"/>
      <c r="X105" s="73"/>
      <c r="Y105" s="73"/>
      <c r="Z105" s="247"/>
      <c r="AA105" s="77">
        <f>AA106+AA107+AA108+AA109</f>
        <v>0</v>
      </c>
      <c r="AB105" s="77">
        <f t="shared" si="52"/>
        <v>0</v>
      </c>
    </row>
    <row r="106" spans="1:28" ht="16.5" hidden="1">
      <c r="A106" s="59" t="s">
        <v>160</v>
      </c>
      <c r="B106" s="63" t="s">
        <v>161</v>
      </c>
      <c r="C106" s="77">
        <f>0</f>
        <v>0</v>
      </c>
      <c r="D106" s="78"/>
      <c r="E106" s="78"/>
      <c r="F106" s="78"/>
      <c r="G106" s="78"/>
      <c r="H106" s="78"/>
      <c r="I106" s="78"/>
      <c r="J106" s="78"/>
      <c r="K106" s="77">
        <v>0</v>
      </c>
      <c r="L106" s="77">
        <f t="shared" si="44"/>
        <v>0</v>
      </c>
      <c r="S106" s="77">
        <f>0</f>
        <v>0</v>
      </c>
      <c r="T106" s="77"/>
      <c r="U106" s="73"/>
      <c r="V106" s="73"/>
      <c r="W106" s="73"/>
      <c r="X106" s="73"/>
      <c r="Y106" s="73"/>
      <c r="Z106" s="247"/>
      <c r="AA106" s="77">
        <v>0</v>
      </c>
      <c r="AB106" s="77">
        <f t="shared" si="52"/>
        <v>0</v>
      </c>
    </row>
    <row r="107" spans="1:28" ht="33" hidden="1">
      <c r="A107" s="59" t="s">
        <v>162</v>
      </c>
      <c r="B107" s="63" t="s">
        <v>163</v>
      </c>
      <c r="C107" s="77">
        <f>0</f>
        <v>0</v>
      </c>
      <c r="D107" s="78"/>
      <c r="E107" s="78"/>
      <c r="F107" s="78"/>
      <c r="G107" s="78"/>
      <c r="H107" s="78"/>
      <c r="I107" s="78"/>
      <c r="J107" s="78"/>
      <c r="K107" s="77">
        <v>0</v>
      </c>
      <c r="L107" s="77">
        <f t="shared" si="44"/>
        <v>0</v>
      </c>
      <c r="S107" s="77">
        <f>0</f>
        <v>0</v>
      </c>
      <c r="T107" s="77"/>
      <c r="U107" s="73"/>
      <c r="V107" s="73"/>
      <c r="W107" s="73"/>
      <c r="X107" s="73"/>
      <c r="Y107" s="73"/>
      <c r="Z107" s="247"/>
      <c r="AA107" s="77">
        <v>0</v>
      </c>
      <c r="AB107" s="77">
        <f t="shared" si="52"/>
        <v>0</v>
      </c>
    </row>
    <row r="108" spans="1:28" ht="33" hidden="1">
      <c r="A108" s="59" t="s">
        <v>164</v>
      </c>
      <c r="B108" s="63" t="s">
        <v>165</v>
      </c>
      <c r="C108" s="77">
        <f>0</f>
        <v>0</v>
      </c>
      <c r="D108" s="78"/>
      <c r="E108" s="78"/>
      <c r="F108" s="78"/>
      <c r="G108" s="78"/>
      <c r="H108" s="78"/>
      <c r="I108" s="78"/>
      <c r="J108" s="78"/>
      <c r="K108" s="77">
        <v>0</v>
      </c>
      <c r="L108" s="77">
        <f t="shared" si="44"/>
        <v>0</v>
      </c>
      <c r="S108" s="77">
        <f>0</f>
        <v>0</v>
      </c>
      <c r="T108" s="77"/>
      <c r="U108" s="73"/>
      <c r="V108" s="73"/>
      <c r="W108" s="73"/>
      <c r="X108" s="73"/>
      <c r="Y108" s="73"/>
      <c r="Z108" s="247"/>
      <c r="AA108" s="77">
        <v>0</v>
      </c>
      <c r="AB108" s="77">
        <f t="shared" si="52"/>
        <v>0</v>
      </c>
    </row>
    <row r="109" spans="1:28" ht="49.5" hidden="1">
      <c r="A109" s="59" t="s">
        <v>166</v>
      </c>
      <c r="B109" s="63" t="s">
        <v>167</v>
      </c>
      <c r="C109" s="77">
        <f>0</f>
        <v>0</v>
      </c>
      <c r="D109" s="78"/>
      <c r="E109" s="78"/>
      <c r="F109" s="78"/>
      <c r="G109" s="78"/>
      <c r="H109" s="78"/>
      <c r="I109" s="78"/>
      <c r="J109" s="78"/>
      <c r="K109" s="77">
        <f>K111+K112</f>
        <v>0</v>
      </c>
      <c r="L109" s="77">
        <f t="shared" si="44"/>
        <v>0</v>
      </c>
      <c r="M109" s="3" t="s">
        <v>168</v>
      </c>
      <c r="S109" s="77">
        <f>0</f>
        <v>0</v>
      </c>
      <c r="T109" s="77"/>
      <c r="U109" s="73"/>
      <c r="V109" s="73"/>
      <c r="W109" s="73"/>
      <c r="X109" s="73"/>
      <c r="Y109" s="73"/>
      <c r="Z109" s="247"/>
      <c r="AA109" s="77">
        <f>AA111+AA112</f>
        <v>0</v>
      </c>
      <c r="AB109" s="77">
        <f t="shared" si="52"/>
        <v>0</v>
      </c>
    </row>
    <row r="110" spans="1:28" ht="16.5" hidden="1">
      <c r="A110" s="59"/>
      <c r="B110" s="63" t="s">
        <v>136</v>
      </c>
      <c r="C110" s="77"/>
      <c r="D110" s="78"/>
      <c r="E110" s="78"/>
      <c r="F110" s="78"/>
      <c r="G110" s="78"/>
      <c r="H110" s="78"/>
      <c r="I110" s="78"/>
      <c r="J110" s="78"/>
      <c r="K110" s="77"/>
      <c r="L110" s="77">
        <f t="shared" si="44"/>
        <v>0</v>
      </c>
      <c r="S110" s="77"/>
      <c r="T110" s="77"/>
      <c r="U110" s="73"/>
      <c r="V110" s="73"/>
      <c r="W110" s="73"/>
      <c r="X110" s="73"/>
      <c r="Y110" s="73"/>
      <c r="Z110" s="247"/>
      <c r="AA110" s="77"/>
      <c r="AB110" s="77">
        <f t="shared" si="52"/>
        <v>0</v>
      </c>
    </row>
    <row r="111" spans="1:28" ht="16.5" hidden="1">
      <c r="A111" s="59"/>
      <c r="B111" s="63" t="s">
        <v>147</v>
      </c>
      <c r="C111" s="77">
        <v>0</v>
      </c>
      <c r="D111" s="78"/>
      <c r="E111" s="78"/>
      <c r="F111" s="78"/>
      <c r="G111" s="78"/>
      <c r="H111" s="78"/>
      <c r="I111" s="78"/>
      <c r="J111" s="78"/>
      <c r="K111" s="77">
        <v>0</v>
      </c>
      <c r="L111" s="77">
        <f t="shared" si="44"/>
        <v>0</v>
      </c>
      <c r="S111" s="77">
        <v>0</v>
      </c>
      <c r="T111" s="77"/>
      <c r="U111" s="73"/>
      <c r="V111" s="73"/>
      <c r="W111" s="73"/>
      <c r="X111" s="73"/>
      <c r="Y111" s="73"/>
      <c r="Z111" s="247"/>
      <c r="AA111" s="77">
        <v>0</v>
      </c>
      <c r="AB111" s="77">
        <f t="shared" si="52"/>
        <v>0</v>
      </c>
    </row>
    <row r="112" spans="1:28" ht="16.5" hidden="1">
      <c r="A112" s="59"/>
      <c r="B112" s="63" t="s">
        <v>100</v>
      </c>
      <c r="C112" s="77">
        <f>0</f>
        <v>0</v>
      </c>
      <c r="D112" s="78"/>
      <c r="E112" s="78"/>
      <c r="F112" s="78"/>
      <c r="G112" s="78"/>
      <c r="H112" s="78"/>
      <c r="I112" s="78"/>
      <c r="J112" s="78"/>
      <c r="K112" s="77">
        <v>0</v>
      </c>
      <c r="L112" s="77">
        <f t="shared" si="44"/>
        <v>0</v>
      </c>
      <c r="S112" s="77">
        <f>0</f>
        <v>0</v>
      </c>
      <c r="T112" s="77"/>
      <c r="U112" s="73"/>
      <c r="V112" s="73"/>
      <c r="W112" s="73"/>
      <c r="X112" s="73"/>
      <c r="Y112" s="73"/>
      <c r="Z112" s="247"/>
      <c r="AA112" s="77">
        <v>0</v>
      </c>
      <c r="AB112" s="77">
        <f t="shared" si="52"/>
        <v>0</v>
      </c>
    </row>
    <row r="113" spans="1:28" ht="19.5" customHeight="1">
      <c r="A113" s="235" t="s">
        <v>169</v>
      </c>
      <c r="B113" s="236" t="s">
        <v>170</v>
      </c>
      <c r="C113" s="82">
        <f>C114+C115+C120</f>
        <v>19534.2</v>
      </c>
      <c r="D113" s="83">
        <f aca="true" t="shared" si="55" ref="D113:J113">D114+D115+D120</f>
        <v>100</v>
      </c>
      <c r="E113" s="83">
        <f t="shared" si="55"/>
        <v>36</v>
      </c>
      <c r="F113" s="83">
        <f t="shared" si="55"/>
        <v>0</v>
      </c>
      <c r="G113" s="83">
        <f t="shared" si="55"/>
        <v>60</v>
      </c>
      <c r="H113" s="83">
        <f t="shared" si="55"/>
        <v>40</v>
      </c>
      <c r="I113" s="83">
        <f t="shared" si="55"/>
        <v>18</v>
      </c>
      <c r="J113" s="83">
        <f t="shared" si="55"/>
        <v>30</v>
      </c>
      <c r="K113" s="82">
        <f>K114+K115+K120</f>
        <v>645</v>
      </c>
      <c r="L113" s="82">
        <f t="shared" si="44"/>
        <v>20179.2</v>
      </c>
      <c r="M113" s="135"/>
      <c r="N113" s="135"/>
      <c r="O113" s="135"/>
      <c r="P113" s="135"/>
      <c r="Q113" s="135"/>
      <c r="R113" s="237"/>
      <c r="S113" s="82">
        <f>S114+S115+S120</f>
        <v>20438.7</v>
      </c>
      <c r="T113" s="82">
        <f aca="true" t="shared" si="56" ref="T113:Z113">T114+T115+T120</f>
        <v>420</v>
      </c>
      <c r="U113" s="85">
        <f t="shared" si="56"/>
        <v>36</v>
      </c>
      <c r="V113" s="85">
        <f t="shared" si="56"/>
        <v>0</v>
      </c>
      <c r="W113" s="85">
        <f t="shared" si="56"/>
        <v>18</v>
      </c>
      <c r="X113" s="85">
        <f t="shared" si="56"/>
        <v>66</v>
      </c>
      <c r="Y113" s="85">
        <f t="shared" si="56"/>
        <v>18</v>
      </c>
      <c r="Z113" s="246">
        <f t="shared" si="56"/>
        <v>110.4</v>
      </c>
      <c r="AA113" s="82">
        <f>AA114+AA115+AA120</f>
        <v>668.4</v>
      </c>
      <c r="AB113" s="82">
        <f t="shared" si="52"/>
        <v>21107.100000000002</v>
      </c>
    </row>
    <row r="114" spans="1:28" ht="50.25" customHeight="1">
      <c r="A114" s="59" t="s">
        <v>171</v>
      </c>
      <c r="B114" s="63" t="s">
        <v>364</v>
      </c>
      <c r="C114" s="77">
        <v>882</v>
      </c>
      <c r="D114" s="78">
        <v>100</v>
      </c>
      <c r="E114" s="78">
        <v>36</v>
      </c>
      <c r="F114" s="78"/>
      <c r="G114" s="78">
        <v>60</v>
      </c>
      <c r="H114" s="78">
        <v>40</v>
      </c>
      <c r="I114" s="78">
        <v>18</v>
      </c>
      <c r="J114" s="78">
        <v>30</v>
      </c>
      <c r="K114" s="77">
        <v>645</v>
      </c>
      <c r="L114" s="77">
        <f t="shared" si="44"/>
        <v>1527</v>
      </c>
      <c r="S114" s="77">
        <f>1400</f>
        <v>1400</v>
      </c>
      <c r="T114" s="77">
        <f>420</f>
        <v>420</v>
      </c>
      <c r="U114" s="73">
        <v>36</v>
      </c>
      <c r="V114" s="73">
        <f>0</f>
        <v>0</v>
      </c>
      <c r="W114" s="73">
        <v>18</v>
      </c>
      <c r="X114" s="73">
        <v>66</v>
      </c>
      <c r="Y114" s="73">
        <v>18</v>
      </c>
      <c r="Z114" s="73">
        <f>110.4</f>
        <v>110.4</v>
      </c>
      <c r="AA114" s="77">
        <f>T114+U114+V114+W114+X114+Y114+Z114</f>
        <v>668.4</v>
      </c>
      <c r="AB114" s="77">
        <f t="shared" si="52"/>
        <v>2068.4</v>
      </c>
    </row>
    <row r="115" spans="1:28" ht="24" customHeight="1">
      <c r="A115" s="59" t="s">
        <v>173</v>
      </c>
      <c r="B115" s="63" t="s">
        <v>379</v>
      </c>
      <c r="C115" s="77">
        <f aca="true" t="shared" si="57" ref="C115:J115">C116+C117+C118+C119</f>
        <v>14530.800000000001</v>
      </c>
      <c r="D115" s="78">
        <f t="shared" si="57"/>
        <v>0</v>
      </c>
      <c r="E115" s="78">
        <f t="shared" si="57"/>
        <v>0</v>
      </c>
      <c r="F115" s="78"/>
      <c r="G115" s="78">
        <f t="shared" si="57"/>
        <v>0</v>
      </c>
      <c r="H115" s="78">
        <f t="shared" si="57"/>
        <v>0</v>
      </c>
      <c r="I115" s="78">
        <f t="shared" si="57"/>
        <v>0</v>
      </c>
      <c r="J115" s="78">
        <f t="shared" si="57"/>
        <v>0</v>
      </c>
      <c r="K115" s="77">
        <f>K116+K117+K118+K119</f>
        <v>0</v>
      </c>
      <c r="L115" s="77">
        <f t="shared" si="44"/>
        <v>14530.800000000001</v>
      </c>
      <c r="S115" s="77">
        <f>S116+S117+S118+S119</f>
        <v>15111.3</v>
      </c>
      <c r="T115" s="77">
        <f>T116+T117+T118+T119</f>
        <v>0</v>
      </c>
      <c r="U115" s="73">
        <f aca="true" t="shared" si="58" ref="U115:Z115">U116+U117+U118+U119</f>
        <v>0</v>
      </c>
      <c r="V115" s="73"/>
      <c r="W115" s="73">
        <f t="shared" si="58"/>
        <v>0</v>
      </c>
      <c r="X115" s="73">
        <f t="shared" si="58"/>
        <v>0</v>
      </c>
      <c r="Y115" s="73">
        <f t="shared" si="58"/>
        <v>0</v>
      </c>
      <c r="Z115" s="73">
        <f t="shared" si="58"/>
        <v>0</v>
      </c>
      <c r="AA115" s="77">
        <f>AA116+AA117+AA118+AA119</f>
        <v>0</v>
      </c>
      <c r="AB115" s="77">
        <f t="shared" si="52"/>
        <v>15111.3</v>
      </c>
    </row>
    <row r="116" spans="1:28" ht="33">
      <c r="A116" s="59"/>
      <c r="B116" s="63" t="s">
        <v>380</v>
      </c>
      <c r="C116" s="77">
        <v>14452.2</v>
      </c>
      <c r="D116" s="78"/>
      <c r="E116" s="78"/>
      <c r="F116" s="78"/>
      <c r="G116" s="78"/>
      <c r="H116" s="78"/>
      <c r="I116" s="78"/>
      <c r="J116" s="78"/>
      <c r="K116" s="77">
        <f>D116+E116+F116+G116+H116+I116+J116</f>
        <v>0</v>
      </c>
      <c r="L116" s="77">
        <f t="shared" si="44"/>
        <v>14452.2</v>
      </c>
      <c r="S116" s="77">
        <f>15026.3</f>
        <v>15026.3</v>
      </c>
      <c r="T116" s="77"/>
      <c r="U116" s="73"/>
      <c r="V116" s="73"/>
      <c r="W116" s="73"/>
      <c r="X116" s="73"/>
      <c r="Y116" s="73"/>
      <c r="Z116" s="247"/>
      <c r="AA116" s="77">
        <f>T116+U116+V116+W116+X116+Y116+Z116</f>
        <v>0</v>
      </c>
      <c r="AB116" s="77">
        <f t="shared" si="52"/>
        <v>15026.3</v>
      </c>
    </row>
    <row r="117" spans="1:28" ht="82.5">
      <c r="A117" s="59"/>
      <c r="B117" s="63" t="s">
        <v>381</v>
      </c>
      <c r="C117" s="77">
        <v>78.6</v>
      </c>
      <c r="D117" s="78"/>
      <c r="E117" s="78"/>
      <c r="F117" s="78">
        <v>0</v>
      </c>
      <c r="G117" s="78"/>
      <c r="H117" s="78"/>
      <c r="I117" s="78"/>
      <c r="J117" s="78"/>
      <c r="K117" s="77">
        <f>D117+E117+F117+G117+H117+I117+J117</f>
        <v>0</v>
      </c>
      <c r="L117" s="77">
        <f t="shared" si="44"/>
        <v>78.6</v>
      </c>
      <c r="S117" s="77">
        <f>55</f>
        <v>55</v>
      </c>
      <c r="T117" s="77"/>
      <c r="U117" s="73"/>
      <c r="V117" s="73">
        <v>0</v>
      </c>
      <c r="W117" s="73"/>
      <c r="X117" s="73"/>
      <c r="Y117" s="73"/>
      <c r="Z117" s="247"/>
      <c r="AA117" s="77">
        <f>T117+U117+V117+W117+X117+Y117+Z117</f>
        <v>0</v>
      </c>
      <c r="AB117" s="77">
        <f t="shared" si="52"/>
        <v>55</v>
      </c>
    </row>
    <row r="118" spans="1:28" ht="16.5" hidden="1">
      <c r="A118" s="59"/>
      <c r="B118" s="63" t="s">
        <v>175</v>
      </c>
      <c r="C118" s="77">
        <f>0</f>
        <v>0</v>
      </c>
      <c r="D118" s="78"/>
      <c r="E118" s="78"/>
      <c r="F118" s="78"/>
      <c r="G118" s="78"/>
      <c r="H118" s="78"/>
      <c r="I118" s="78"/>
      <c r="J118" s="78"/>
      <c r="K118" s="77">
        <f>D118+E118+F118+G118+H118+I118+J118</f>
        <v>0</v>
      </c>
      <c r="L118" s="77">
        <f t="shared" si="44"/>
        <v>0</v>
      </c>
      <c r="S118" s="77">
        <f>0</f>
        <v>0</v>
      </c>
      <c r="T118" s="77"/>
      <c r="U118" s="73"/>
      <c r="V118" s="73"/>
      <c r="W118" s="73"/>
      <c r="X118" s="73"/>
      <c r="Y118" s="73"/>
      <c r="Z118" s="247"/>
      <c r="AA118" s="77">
        <f>T118+U118+V118+W118+X118+Y118+Z118</f>
        <v>0</v>
      </c>
      <c r="AB118" s="77">
        <f t="shared" si="52"/>
        <v>0</v>
      </c>
    </row>
    <row r="119" spans="1:28" ht="16.5">
      <c r="A119" s="59"/>
      <c r="B119" s="92" t="s">
        <v>282</v>
      </c>
      <c r="C119" s="77">
        <v>0</v>
      </c>
      <c r="D119" s="78"/>
      <c r="E119" s="78"/>
      <c r="F119" s="78"/>
      <c r="G119" s="78"/>
      <c r="H119" s="78"/>
      <c r="I119" s="78"/>
      <c r="J119" s="78"/>
      <c r="K119" s="77">
        <f>D119+E119+F119+G119+H119+I119+J119</f>
        <v>0</v>
      </c>
      <c r="L119" s="77">
        <f t="shared" si="44"/>
        <v>0</v>
      </c>
      <c r="S119" s="77">
        <f>30</f>
        <v>30</v>
      </c>
      <c r="T119" s="77"/>
      <c r="U119" s="73"/>
      <c r="V119" s="73"/>
      <c r="W119" s="73"/>
      <c r="X119" s="73"/>
      <c r="Y119" s="73"/>
      <c r="Z119" s="247"/>
      <c r="AA119" s="77">
        <f>T119+U119+V119+W119+X119+Y119+Z119</f>
        <v>0</v>
      </c>
      <c r="AB119" s="77">
        <f t="shared" si="52"/>
        <v>30</v>
      </c>
    </row>
    <row r="120" spans="1:28" ht="16.5">
      <c r="A120" s="59" t="s">
        <v>176</v>
      </c>
      <c r="B120" s="63" t="s">
        <v>13</v>
      </c>
      <c r="C120" s="77">
        <v>4121.4</v>
      </c>
      <c r="D120" s="78"/>
      <c r="E120" s="78"/>
      <c r="F120" s="78"/>
      <c r="G120" s="78"/>
      <c r="H120" s="78"/>
      <c r="I120" s="78"/>
      <c r="J120" s="78"/>
      <c r="K120" s="77">
        <f>D120+E120+F120+G120+H120+I120+J120</f>
        <v>0</v>
      </c>
      <c r="L120" s="77">
        <f t="shared" si="44"/>
        <v>4121.4</v>
      </c>
      <c r="S120" s="77">
        <f>3927.4</f>
        <v>3927.4</v>
      </c>
      <c r="T120" s="77"/>
      <c r="U120" s="73"/>
      <c r="V120" s="73"/>
      <c r="W120" s="73"/>
      <c r="X120" s="73"/>
      <c r="Y120" s="73"/>
      <c r="Z120" s="247"/>
      <c r="AA120" s="77">
        <f>T120+U120+V120+W120+X120+Y120+Z120</f>
        <v>0</v>
      </c>
      <c r="AB120" s="77">
        <f t="shared" si="52"/>
        <v>3927.4</v>
      </c>
    </row>
    <row r="121" spans="1:28" s="1" customFormat="1" ht="16.5">
      <c r="A121" s="228" t="s">
        <v>177</v>
      </c>
      <c r="B121" s="229" t="s">
        <v>178</v>
      </c>
      <c r="C121" s="85">
        <f>C122+C126</f>
        <v>580</v>
      </c>
      <c r="D121" s="232">
        <f>D122+D126</f>
        <v>26483</v>
      </c>
      <c r="E121" s="232">
        <f aca="true" t="shared" si="59" ref="E121:J121">E122+E126</f>
        <v>0</v>
      </c>
      <c r="F121" s="232">
        <f t="shared" si="59"/>
        <v>0</v>
      </c>
      <c r="G121" s="232">
        <f t="shared" si="59"/>
        <v>0</v>
      </c>
      <c r="H121" s="232">
        <f t="shared" si="59"/>
        <v>0</v>
      </c>
      <c r="I121" s="232">
        <f t="shared" si="59"/>
        <v>0</v>
      </c>
      <c r="J121" s="232">
        <f t="shared" si="59"/>
        <v>0</v>
      </c>
      <c r="K121" s="85">
        <f>K122+K126</f>
        <v>25747.4</v>
      </c>
      <c r="L121" s="85">
        <f>C121+K121</f>
        <v>26327.4</v>
      </c>
      <c r="M121" s="134"/>
      <c r="N121" s="134"/>
      <c r="O121" s="134"/>
      <c r="P121" s="134"/>
      <c r="Q121" s="134"/>
      <c r="R121" s="233"/>
      <c r="S121" s="85">
        <f>S122+S126</f>
        <v>722.3</v>
      </c>
      <c r="T121" s="85">
        <f>T122+T126</f>
        <v>34474.9</v>
      </c>
      <c r="U121" s="85">
        <f aca="true" t="shared" si="60" ref="U121:Z121">U122+U126</f>
        <v>0</v>
      </c>
      <c r="V121" s="85">
        <f t="shared" si="60"/>
        <v>0</v>
      </c>
      <c r="W121" s="85">
        <f t="shared" si="60"/>
        <v>0</v>
      </c>
      <c r="X121" s="85">
        <f t="shared" si="60"/>
        <v>0</v>
      </c>
      <c r="Y121" s="85">
        <f t="shared" si="60"/>
        <v>0</v>
      </c>
      <c r="Z121" s="246">
        <f t="shared" si="60"/>
        <v>0</v>
      </c>
      <c r="AA121" s="85">
        <f>AA122+AA126</f>
        <v>34474.9</v>
      </c>
      <c r="AB121" s="85">
        <f t="shared" si="52"/>
        <v>35197.200000000004</v>
      </c>
    </row>
    <row r="122" spans="1:28" ht="16.5">
      <c r="A122" s="59" t="s">
        <v>179</v>
      </c>
      <c r="B122" s="63" t="s">
        <v>382</v>
      </c>
      <c r="C122" s="77">
        <f>C123+C124+C125</f>
        <v>0</v>
      </c>
      <c r="D122" s="78">
        <f>D124</f>
        <v>26483</v>
      </c>
      <c r="E122" s="78"/>
      <c r="F122" s="78"/>
      <c r="G122" s="78"/>
      <c r="H122" s="78"/>
      <c r="I122" s="78"/>
      <c r="J122" s="78"/>
      <c r="K122" s="77">
        <f>K123+K124</f>
        <v>25747.4</v>
      </c>
      <c r="L122" s="77">
        <f t="shared" si="44"/>
        <v>25747.4</v>
      </c>
      <c r="S122" s="77">
        <f>S123+S124+S125</f>
        <v>0</v>
      </c>
      <c r="T122" s="77">
        <f>T124</f>
        <v>34474.9</v>
      </c>
      <c r="U122" s="73"/>
      <c r="V122" s="73"/>
      <c r="W122" s="73"/>
      <c r="X122" s="73"/>
      <c r="Y122" s="73"/>
      <c r="Z122" s="247"/>
      <c r="AA122" s="77">
        <f>AA123+AA124</f>
        <v>34474.9</v>
      </c>
      <c r="AB122" s="77">
        <f t="shared" si="52"/>
        <v>34474.9</v>
      </c>
    </row>
    <row r="123" spans="1:28" ht="16.5" hidden="1">
      <c r="A123" s="59"/>
      <c r="B123" s="63" t="s">
        <v>181</v>
      </c>
      <c r="C123" s="77">
        <f>0</f>
        <v>0</v>
      </c>
      <c r="D123" s="78"/>
      <c r="E123" s="78"/>
      <c r="F123" s="78"/>
      <c r="G123" s="78"/>
      <c r="H123" s="78"/>
      <c r="I123" s="78"/>
      <c r="J123" s="78"/>
      <c r="K123" s="77"/>
      <c r="L123" s="77"/>
      <c r="M123" s="3">
        <f>1900</f>
        <v>1900</v>
      </c>
      <c r="N123" s="3" t="s">
        <v>270</v>
      </c>
      <c r="S123" s="77">
        <f>0</f>
        <v>0</v>
      </c>
      <c r="T123" s="77"/>
      <c r="U123" s="73"/>
      <c r="V123" s="73"/>
      <c r="W123" s="73"/>
      <c r="X123" s="73"/>
      <c r="Y123" s="73"/>
      <c r="Z123" s="247"/>
      <c r="AA123" s="77"/>
      <c r="AB123" s="77"/>
    </row>
    <row r="124" spans="1:28" ht="16.5">
      <c r="A124" s="59"/>
      <c r="B124" s="63" t="s">
        <v>284</v>
      </c>
      <c r="C124" s="77"/>
      <c r="D124" s="78">
        <v>26483</v>
      </c>
      <c r="E124" s="78"/>
      <c r="F124" s="78"/>
      <c r="G124" s="78"/>
      <c r="H124" s="78"/>
      <c r="I124" s="78"/>
      <c r="J124" s="78"/>
      <c r="K124" s="77">
        <v>25747.4</v>
      </c>
      <c r="L124" s="77">
        <f t="shared" si="44"/>
        <v>25747.4</v>
      </c>
      <c r="M124" s="3">
        <v>1100</v>
      </c>
      <c r="N124" s="3" t="s">
        <v>285</v>
      </c>
      <c r="S124" s="77"/>
      <c r="T124" s="77">
        <f>34474.9</f>
        <v>34474.9</v>
      </c>
      <c r="U124" s="73"/>
      <c r="V124" s="73"/>
      <c r="W124" s="73"/>
      <c r="X124" s="73"/>
      <c r="Y124" s="73"/>
      <c r="Z124" s="247"/>
      <c r="AA124" s="77">
        <f>T124+U124+V124+W124+X124+Y124+Z124</f>
        <v>34474.9</v>
      </c>
      <c r="AB124" s="77">
        <f aca="true" t="shared" si="61" ref="AB124:AB132">S124+AA124</f>
        <v>34474.9</v>
      </c>
    </row>
    <row r="125" spans="1:28" ht="16.5">
      <c r="A125" s="59"/>
      <c r="B125" s="63" t="s">
        <v>181</v>
      </c>
      <c r="C125" s="77">
        <f>0</f>
        <v>0</v>
      </c>
      <c r="D125" s="78">
        <f>3762.4+5</f>
        <v>3767.4</v>
      </c>
      <c r="E125" s="78"/>
      <c r="F125" s="78"/>
      <c r="G125" s="78"/>
      <c r="H125" s="78"/>
      <c r="I125" s="78"/>
      <c r="J125" s="78"/>
      <c r="K125" s="77">
        <f>D125+E125+F125+G125+H125+I125+J125</f>
        <v>3767.4</v>
      </c>
      <c r="L125" s="77">
        <f t="shared" si="44"/>
        <v>3767.4</v>
      </c>
      <c r="S125" s="77">
        <f>0</f>
        <v>0</v>
      </c>
      <c r="T125" s="77">
        <f>3700</f>
        <v>3700</v>
      </c>
      <c r="U125" s="73"/>
      <c r="V125" s="73"/>
      <c r="W125" s="73"/>
      <c r="X125" s="73"/>
      <c r="Y125" s="73"/>
      <c r="Z125" s="247"/>
      <c r="AA125" s="77">
        <f>T125+U125+V125+W125+X125+Y125+Z125</f>
        <v>3700</v>
      </c>
      <c r="AB125" s="77">
        <f t="shared" si="61"/>
        <v>3700</v>
      </c>
    </row>
    <row r="126" spans="1:28" ht="33">
      <c r="A126" s="59" t="s">
        <v>183</v>
      </c>
      <c r="B126" s="63" t="s">
        <v>184</v>
      </c>
      <c r="C126" s="77">
        <f>C127+C128</f>
        <v>580</v>
      </c>
      <c r="D126" s="78">
        <f aca="true" t="shared" si="62" ref="D126:J126">D127+D128</f>
        <v>0</v>
      </c>
      <c r="E126" s="78">
        <f t="shared" si="62"/>
        <v>0</v>
      </c>
      <c r="F126" s="78">
        <f t="shared" si="62"/>
        <v>0</v>
      </c>
      <c r="G126" s="78">
        <f t="shared" si="62"/>
        <v>0</v>
      </c>
      <c r="H126" s="78">
        <f t="shared" si="62"/>
        <v>0</v>
      </c>
      <c r="I126" s="78">
        <f t="shared" si="62"/>
        <v>0</v>
      </c>
      <c r="J126" s="78">
        <f t="shared" si="62"/>
        <v>0</v>
      </c>
      <c r="K126" s="77">
        <f>D126+E126+F126+G126+H126+I126+J126</f>
        <v>0</v>
      </c>
      <c r="L126" s="77">
        <f t="shared" si="44"/>
        <v>580</v>
      </c>
      <c r="S126" s="77">
        <f>S127+S128</f>
        <v>722.3</v>
      </c>
      <c r="T126" s="77">
        <f aca="true" t="shared" si="63" ref="T126:Z126">T127+T128</f>
        <v>0</v>
      </c>
      <c r="U126" s="73">
        <f t="shared" si="63"/>
        <v>0</v>
      </c>
      <c r="V126" s="73">
        <f t="shared" si="63"/>
        <v>0</v>
      </c>
      <c r="W126" s="73">
        <f t="shared" si="63"/>
        <v>0</v>
      </c>
      <c r="X126" s="73">
        <f t="shared" si="63"/>
        <v>0</v>
      </c>
      <c r="Y126" s="73">
        <f t="shared" si="63"/>
        <v>0</v>
      </c>
      <c r="Z126" s="73">
        <f t="shared" si="63"/>
        <v>0</v>
      </c>
      <c r="AA126" s="77">
        <f>T126+U126+V126+W126+X126+Y126+Z126</f>
        <v>0</v>
      </c>
      <c r="AB126" s="77">
        <f t="shared" si="61"/>
        <v>722.3</v>
      </c>
    </row>
    <row r="127" spans="1:28" ht="24.75" customHeight="1">
      <c r="A127" s="59"/>
      <c r="B127" s="63" t="s">
        <v>147</v>
      </c>
      <c r="C127" s="77">
        <v>580</v>
      </c>
      <c r="D127" s="78"/>
      <c r="E127" s="78"/>
      <c r="F127" s="78"/>
      <c r="G127" s="78"/>
      <c r="H127" s="78"/>
      <c r="I127" s="78"/>
      <c r="J127" s="78"/>
      <c r="K127" s="77">
        <f>D127+E127+F127+G127+H127+I127+J127</f>
        <v>0</v>
      </c>
      <c r="L127" s="77">
        <f t="shared" si="44"/>
        <v>580</v>
      </c>
      <c r="S127" s="77">
        <f>722.3</f>
        <v>722.3</v>
      </c>
      <c r="T127" s="77"/>
      <c r="U127" s="73"/>
      <c r="V127" s="73"/>
      <c r="W127" s="73"/>
      <c r="X127" s="73"/>
      <c r="Y127" s="73"/>
      <c r="Z127" s="73"/>
      <c r="AA127" s="77">
        <f>T127+U127+V127+W127+X127+Y127+Z127</f>
        <v>0</v>
      </c>
      <c r="AB127" s="77">
        <f t="shared" si="61"/>
        <v>722.3</v>
      </c>
    </row>
    <row r="128" spans="1:28" ht="16.5">
      <c r="A128" s="59"/>
      <c r="B128" s="63" t="s">
        <v>100</v>
      </c>
      <c r="C128" s="77">
        <v>0</v>
      </c>
      <c r="D128" s="78"/>
      <c r="E128" s="78"/>
      <c r="F128" s="78"/>
      <c r="G128" s="78"/>
      <c r="H128" s="78"/>
      <c r="I128" s="78"/>
      <c r="J128" s="78"/>
      <c r="K128" s="77">
        <v>0</v>
      </c>
      <c r="L128" s="77">
        <f t="shared" si="44"/>
        <v>0</v>
      </c>
      <c r="S128" s="77">
        <v>0</v>
      </c>
      <c r="T128" s="77"/>
      <c r="U128" s="73"/>
      <c r="V128" s="73"/>
      <c r="W128" s="73"/>
      <c r="X128" s="73"/>
      <c r="Y128" s="73"/>
      <c r="Z128" s="73"/>
      <c r="AA128" s="77">
        <v>0</v>
      </c>
      <c r="AB128" s="77">
        <f t="shared" si="61"/>
        <v>0</v>
      </c>
    </row>
    <row r="129" spans="1:28" s="1" customFormat="1" ht="16.5">
      <c r="A129" s="228" t="s">
        <v>185</v>
      </c>
      <c r="B129" s="229" t="s">
        <v>186</v>
      </c>
      <c r="C129" s="85">
        <f>C130</f>
        <v>250</v>
      </c>
      <c r="D129" s="232">
        <f aca="true" t="shared" si="64" ref="D129:J129">D130</f>
        <v>50</v>
      </c>
      <c r="E129" s="232">
        <f t="shared" si="64"/>
        <v>0</v>
      </c>
      <c r="F129" s="232">
        <f t="shared" si="64"/>
        <v>0</v>
      </c>
      <c r="G129" s="232">
        <f t="shared" si="64"/>
        <v>0</v>
      </c>
      <c r="H129" s="232">
        <f t="shared" si="64"/>
        <v>0</v>
      </c>
      <c r="I129" s="232">
        <f t="shared" si="64"/>
        <v>0</v>
      </c>
      <c r="J129" s="232">
        <f t="shared" si="64"/>
        <v>0</v>
      </c>
      <c r="K129" s="85">
        <f>K130</f>
        <v>80</v>
      </c>
      <c r="L129" s="85">
        <f t="shared" si="44"/>
        <v>330</v>
      </c>
      <c r="M129" s="134"/>
      <c r="N129" s="134"/>
      <c r="O129" s="134"/>
      <c r="P129" s="134"/>
      <c r="Q129" s="134"/>
      <c r="R129" s="233"/>
      <c r="S129" s="85">
        <f>S130</f>
        <v>370</v>
      </c>
      <c r="T129" s="85">
        <f aca="true" t="shared" si="65" ref="T129:Z129">T130</f>
        <v>95</v>
      </c>
      <c r="U129" s="85">
        <f t="shared" si="65"/>
        <v>0</v>
      </c>
      <c r="V129" s="85">
        <f t="shared" si="65"/>
        <v>0</v>
      </c>
      <c r="W129" s="85">
        <f t="shared" si="65"/>
        <v>0</v>
      </c>
      <c r="X129" s="85">
        <f t="shared" si="65"/>
        <v>0</v>
      </c>
      <c r="Y129" s="85">
        <f t="shared" si="65"/>
        <v>0</v>
      </c>
      <c r="Z129" s="85">
        <f t="shared" si="65"/>
        <v>0</v>
      </c>
      <c r="AA129" s="85">
        <f>AA130</f>
        <v>95</v>
      </c>
      <c r="AB129" s="85">
        <f t="shared" si="61"/>
        <v>465</v>
      </c>
    </row>
    <row r="130" spans="1:28" ht="16.5">
      <c r="A130" s="59" t="s">
        <v>187</v>
      </c>
      <c r="B130" s="63" t="s">
        <v>9</v>
      </c>
      <c r="C130" s="77">
        <v>250</v>
      </c>
      <c r="D130" s="78">
        <v>50</v>
      </c>
      <c r="E130" s="78"/>
      <c r="F130" s="78"/>
      <c r="G130" s="78"/>
      <c r="H130" s="78"/>
      <c r="I130" s="78"/>
      <c r="J130" s="78"/>
      <c r="K130" s="77">
        <v>80</v>
      </c>
      <c r="L130" s="77">
        <f t="shared" si="44"/>
        <v>330</v>
      </c>
      <c r="S130" s="77">
        <f>370</f>
        <v>370</v>
      </c>
      <c r="T130" s="77">
        <f>95</f>
        <v>95</v>
      </c>
      <c r="U130" s="73"/>
      <c r="V130" s="73"/>
      <c r="W130" s="73"/>
      <c r="X130" s="73"/>
      <c r="Y130" s="73"/>
      <c r="Z130" s="247"/>
      <c r="AA130" s="77">
        <f>T130+U130+V130+W130+X130+Y130+Z130</f>
        <v>95</v>
      </c>
      <c r="AB130" s="77">
        <f t="shared" si="61"/>
        <v>465</v>
      </c>
    </row>
    <row r="131" spans="1:28" s="1" customFormat="1" ht="43.5" customHeight="1">
      <c r="A131" s="228" t="s">
        <v>188</v>
      </c>
      <c r="B131" s="229" t="s">
        <v>189</v>
      </c>
      <c r="C131" s="85">
        <f>C132</f>
        <v>1000</v>
      </c>
      <c r="D131" s="232">
        <f aca="true" t="shared" si="66" ref="D131:J131">D132</f>
        <v>0</v>
      </c>
      <c r="E131" s="232">
        <f t="shared" si="66"/>
        <v>0</v>
      </c>
      <c r="F131" s="232">
        <f t="shared" si="66"/>
        <v>0</v>
      </c>
      <c r="G131" s="232">
        <f t="shared" si="66"/>
        <v>0</v>
      </c>
      <c r="H131" s="232">
        <f t="shared" si="66"/>
        <v>0</v>
      </c>
      <c r="I131" s="232">
        <f t="shared" si="66"/>
        <v>0</v>
      </c>
      <c r="J131" s="232">
        <f t="shared" si="66"/>
        <v>0</v>
      </c>
      <c r="K131" s="85">
        <f>K132</f>
        <v>0</v>
      </c>
      <c r="L131" s="85">
        <f t="shared" si="44"/>
        <v>1000</v>
      </c>
      <c r="M131" s="134"/>
      <c r="N131" s="134"/>
      <c r="O131" s="134"/>
      <c r="P131" s="134"/>
      <c r="Q131" s="134"/>
      <c r="R131" s="233"/>
      <c r="S131" s="85">
        <f>S132</f>
        <v>550</v>
      </c>
      <c r="T131" s="85">
        <f aca="true" t="shared" si="67" ref="T131:Z131">T132</f>
        <v>0</v>
      </c>
      <c r="U131" s="85">
        <f t="shared" si="67"/>
        <v>0</v>
      </c>
      <c r="V131" s="85">
        <f t="shared" si="67"/>
        <v>0</v>
      </c>
      <c r="W131" s="85">
        <f t="shared" si="67"/>
        <v>0</v>
      </c>
      <c r="X131" s="85">
        <f t="shared" si="67"/>
        <v>0</v>
      </c>
      <c r="Y131" s="85">
        <f t="shared" si="67"/>
        <v>0</v>
      </c>
      <c r="Z131" s="246">
        <f t="shared" si="67"/>
        <v>0</v>
      </c>
      <c r="AA131" s="85">
        <f>AA132</f>
        <v>0</v>
      </c>
      <c r="AB131" s="85">
        <f t="shared" si="61"/>
        <v>550</v>
      </c>
    </row>
    <row r="132" spans="1:28" ht="25.5" customHeight="1">
      <c r="A132" s="59" t="s">
        <v>190</v>
      </c>
      <c r="B132" s="63" t="s">
        <v>8</v>
      </c>
      <c r="C132" s="77">
        <v>1000</v>
      </c>
      <c r="D132" s="78"/>
      <c r="E132" s="78"/>
      <c r="F132" s="78"/>
      <c r="G132" s="78"/>
      <c r="H132" s="78"/>
      <c r="I132" s="78"/>
      <c r="J132" s="78"/>
      <c r="K132" s="77">
        <f>D132+E132+F132+G132+H132+I132+J132</f>
        <v>0</v>
      </c>
      <c r="L132" s="77">
        <f t="shared" si="44"/>
        <v>1000</v>
      </c>
      <c r="S132" s="77">
        <f>550</f>
        <v>550</v>
      </c>
      <c r="T132" s="77"/>
      <c r="U132" s="73"/>
      <c r="V132" s="73"/>
      <c r="W132" s="73"/>
      <c r="X132" s="73"/>
      <c r="Y132" s="73"/>
      <c r="Z132" s="247"/>
      <c r="AA132" s="77">
        <f>T132+U132+V132+W132+X132+Y132+Z132</f>
        <v>0</v>
      </c>
      <c r="AB132" s="77">
        <f t="shared" si="61"/>
        <v>550</v>
      </c>
    </row>
    <row r="133" spans="1:28" s="27" customFormat="1" ht="63">
      <c r="A133" s="56" t="s">
        <v>191</v>
      </c>
      <c r="B133" s="93" t="s">
        <v>369</v>
      </c>
      <c r="C133" s="85">
        <f>C134+C137</f>
        <v>5130.9</v>
      </c>
      <c r="D133" s="85">
        <f aca="true" t="shared" si="68" ref="D133:K133">D134+D137</f>
        <v>0</v>
      </c>
      <c r="E133" s="85">
        <f t="shared" si="68"/>
        <v>0</v>
      </c>
      <c r="F133" s="85">
        <f t="shared" si="68"/>
        <v>0</v>
      </c>
      <c r="G133" s="85">
        <f t="shared" si="68"/>
        <v>0</v>
      </c>
      <c r="H133" s="85">
        <f t="shared" si="68"/>
        <v>0</v>
      </c>
      <c r="I133" s="85">
        <f t="shared" si="68"/>
        <v>0</v>
      </c>
      <c r="J133" s="85">
        <f t="shared" si="68"/>
        <v>0</v>
      </c>
      <c r="K133" s="85">
        <f t="shared" si="68"/>
        <v>0</v>
      </c>
      <c r="L133" s="85">
        <v>0</v>
      </c>
      <c r="R133" s="94"/>
      <c r="S133" s="85">
        <f>S134+S137</f>
        <v>2575.5</v>
      </c>
      <c r="T133" s="85">
        <f aca="true" t="shared" si="69" ref="T133:AA133">T134+T137</f>
        <v>0</v>
      </c>
      <c r="U133" s="85">
        <f t="shared" si="69"/>
        <v>0</v>
      </c>
      <c r="V133" s="85">
        <f t="shared" si="69"/>
        <v>0</v>
      </c>
      <c r="W133" s="85">
        <f t="shared" si="69"/>
        <v>0</v>
      </c>
      <c r="X133" s="85">
        <f t="shared" si="69"/>
        <v>0</v>
      </c>
      <c r="Y133" s="85">
        <f t="shared" si="69"/>
        <v>0</v>
      </c>
      <c r="Z133" s="246">
        <f t="shared" si="69"/>
        <v>0</v>
      </c>
      <c r="AA133" s="85">
        <f t="shared" si="69"/>
        <v>0</v>
      </c>
      <c r="AB133" s="85">
        <v>0</v>
      </c>
    </row>
    <row r="134" spans="1:28" ht="33" customHeight="1">
      <c r="A134" s="59" t="s">
        <v>193</v>
      </c>
      <c r="B134" s="63" t="s">
        <v>286</v>
      </c>
      <c r="C134" s="89">
        <f>C135+C136</f>
        <v>4101.7</v>
      </c>
      <c r="D134" s="78"/>
      <c r="E134" s="78"/>
      <c r="F134" s="78"/>
      <c r="G134" s="78"/>
      <c r="H134" s="78"/>
      <c r="I134" s="78"/>
      <c r="J134" s="78"/>
      <c r="K134" s="77">
        <f>D134+E134+F134+G134+H134+I134+J134</f>
        <v>0</v>
      </c>
      <c r="L134" s="89">
        <f t="shared" si="44"/>
        <v>4101.7</v>
      </c>
      <c r="S134" s="77">
        <f>S135+S136</f>
        <v>2575.5</v>
      </c>
      <c r="T134" s="77"/>
      <c r="U134" s="73"/>
      <c r="V134" s="73"/>
      <c r="W134" s="73"/>
      <c r="X134" s="73"/>
      <c r="Y134" s="73"/>
      <c r="Z134" s="247"/>
      <c r="AA134" s="77">
        <f>T134+U134+V134+W134+X134+Y134+Z134</f>
        <v>0</v>
      </c>
      <c r="AB134" s="77">
        <f>S134+AA134</f>
        <v>2575.5</v>
      </c>
    </row>
    <row r="135" spans="1:28" ht="47.25" hidden="1">
      <c r="A135" s="59"/>
      <c r="B135" s="86" t="s">
        <v>195</v>
      </c>
      <c r="C135" s="89">
        <f>(1702.8-8.2-0-3.5+145.6-8.5-5.1)</f>
        <v>1823.1</v>
      </c>
      <c r="D135" s="78"/>
      <c r="E135" s="78"/>
      <c r="F135" s="78"/>
      <c r="G135" s="78"/>
      <c r="H135" s="78"/>
      <c r="I135" s="78"/>
      <c r="J135" s="78"/>
      <c r="K135" s="77">
        <f>D135+E135+F135+G135+H135+I135+J135</f>
        <v>0</v>
      </c>
      <c r="L135" s="89">
        <f t="shared" si="44"/>
        <v>1823.1</v>
      </c>
      <c r="S135" s="77">
        <f>0</f>
        <v>0</v>
      </c>
      <c r="T135" s="77"/>
      <c r="U135" s="73"/>
      <c r="V135" s="73"/>
      <c r="W135" s="73"/>
      <c r="X135" s="73"/>
      <c r="Y135" s="73"/>
      <c r="Z135" s="247"/>
      <c r="AA135" s="77">
        <f>T135+U135+V135+W135+X135+Y135+Z135</f>
        <v>0</v>
      </c>
      <c r="AB135" s="77">
        <f>S135+AA135</f>
        <v>0</v>
      </c>
    </row>
    <row r="136" spans="1:28" ht="47.25">
      <c r="A136" s="59"/>
      <c r="B136" s="86" t="s">
        <v>196</v>
      </c>
      <c r="C136" s="77">
        <v>2278.6</v>
      </c>
      <c r="D136" s="78"/>
      <c r="E136" s="78"/>
      <c r="F136" s="78"/>
      <c r="G136" s="78"/>
      <c r="H136" s="78"/>
      <c r="I136" s="78"/>
      <c r="J136" s="78"/>
      <c r="K136" s="77">
        <f>D136+E136+F136+G136+H136+I136+J136</f>
        <v>0</v>
      </c>
      <c r="L136" s="77">
        <f t="shared" si="44"/>
        <v>2278.6</v>
      </c>
      <c r="S136" s="77">
        <f>2575.5</f>
        <v>2575.5</v>
      </c>
      <c r="T136" s="77"/>
      <c r="U136" s="73"/>
      <c r="V136" s="73"/>
      <c r="W136" s="73"/>
      <c r="X136" s="73"/>
      <c r="Y136" s="73"/>
      <c r="Z136" s="247"/>
      <c r="AA136" s="77">
        <f>T136+U136+V136+W136+X136+Y136+Z136</f>
        <v>0</v>
      </c>
      <c r="AB136" s="77">
        <f>S136+AA136</f>
        <v>2575.5</v>
      </c>
    </row>
    <row r="137" spans="1:28" ht="16.5" hidden="1">
      <c r="A137" s="59" t="s">
        <v>197</v>
      </c>
      <c r="B137" s="63" t="s">
        <v>7</v>
      </c>
      <c r="C137" s="89">
        <f>(1192.5-8.7-154.6)</f>
        <v>1029.2</v>
      </c>
      <c r="D137" s="78"/>
      <c r="E137" s="78"/>
      <c r="F137" s="78"/>
      <c r="G137" s="78"/>
      <c r="H137" s="78"/>
      <c r="I137" s="78"/>
      <c r="J137" s="78"/>
      <c r="K137" s="77">
        <f>D137+E137+F137+G137+H137+I137+J137</f>
        <v>0</v>
      </c>
      <c r="L137" s="89">
        <f t="shared" si="44"/>
        <v>1029.2</v>
      </c>
      <c r="S137" s="77">
        <f>0</f>
        <v>0</v>
      </c>
      <c r="T137" s="77"/>
      <c r="U137" s="73"/>
      <c r="V137" s="73"/>
      <c r="W137" s="73"/>
      <c r="X137" s="73"/>
      <c r="Y137" s="73"/>
      <c r="Z137" s="247"/>
      <c r="AA137" s="77">
        <f>T137+U137+V137+W137+X137+Y137+Z137</f>
        <v>0</v>
      </c>
      <c r="AB137" s="77">
        <f>S137+AA137</f>
        <v>0</v>
      </c>
    </row>
    <row r="138" spans="1:28" s="1" customFormat="1" ht="32.25" customHeight="1">
      <c r="A138" s="137"/>
      <c r="B138" s="138" t="s">
        <v>198</v>
      </c>
      <c r="C138" s="238">
        <f aca="true" t="shared" si="70" ref="C138:K138">C7+C30+C32+C38+C49+C67+C69+C94+C105+C113+C121+C129+C131+C133</f>
        <v>614679.1</v>
      </c>
      <c r="D138" s="238">
        <f t="shared" si="70"/>
        <v>61848.1</v>
      </c>
      <c r="E138" s="238">
        <f t="shared" si="70"/>
        <v>2423.5</v>
      </c>
      <c r="F138" s="238">
        <f t="shared" si="70"/>
        <v>2811.6</v>
      </c>
      <c r="G138" s="238">
        <f t="shared" si="70"/>
        <v>1984.4</v>
      </c>
      <c r="H138" s="238">
        <f t="shared" si="70"/>
        <v>2792.2</v>
      </c>
      <c r="I138" s="238">
        <f t="shared" si="70"/>
        <v>2397.3</v>
      </c>
      <c r="J138" s="238">
        <f t="shared" si="70"/>
        <v>2879.4</v>
      </c>
      <c r="K138" s="238">
        <f t="shared" si="70"/>
        <v>85592.4</v>
      </c>
      <c r="L138" s="238">
        <f>L7+L30+L32+L38+L49+L67+L69+L94+L105+L113+L121+L129+L131+L133+5173.9+10574.5</f>
        <v>708198.3</v>
      </c>
      <c r="M138" s="134"/>
      <c r="N138" s="134"/>
      <c r="O138" s="134"/>
      <c r="P138" s="134"/>
      <c r="Q138" s="134"/>
      <c r="R138" s="233"/>
      <c r="S138" s="238">
        <f aca="true" t="shared" si="71" ref="S138:AA138">S7+S30+S32+S38+S49+S67+S69+S94+S105+S113+S121+S129+S131+S133</f>
        <v>625407.2</v>
      </c>
      <c r="T138" s="238">
        <f t="shared" si="71"/>
        <v>79014.1</v>
      </c>
      <c r="U138" s="238">
        <f t="shared" si="71"/>
        <v>5697.599999999999</v>
      </c>
      <c r="V138" s="238">
        <f t="shared" si="71"/>
        <v>4632.1</v>
      </c>
      <c r="W138" s="238">
        <f t="shared" si="71"/>
        <v>3146.1</v>
      </c>
      <c r="X138" s="238">
        <f t="shared" si="71"/>
        <v>5388.999999999999</v>
      </c>
      <c r="Y138" s="238">
        <f t="shared" si="71"/>
        <v>3430.2999999999997</v>
      </c>
      <c r="Z138" s="238">
        <f t="shared" si="71"/>
        <v>4281.599999999999</v>
      </c>
      <c r="AA138" s="238">
        <f t="shared" si="71"/>
        <v>104090.79999999999</v>
      </c>
      <c r="AB138" s="238">
        <f>AB7+AB30+AB32+AB38+AB49+AB67+AB69+AB94+AB105+AB113+AB121+AB129+AB131+AB133+AA15+AA56+S136</f>
        <v>717985.5999999999</v>
      </c>
    </row>
    <row r="139" spans="1:28" ht="33">
      <c r="A139" s="59"/>
      <c r="B139" s="63" t="s">
        <v>287</v>
      </c>
      <c r="C139" s="77">
        <f>C30+C133</f>
        <v>5130.9</v>
      </c>
      <c r="D139" s="77">
        <f aca="true" t="shared" si="72" ref="D139:K139">D15+D29+D44+D56</f>
        <v>0</v>
      </c>
      <c r="E139" s="77">
        <f t="shared" si="72"/>
        <v>14.3</v>
      </c>
      <c r="F139" s="77">
        <f t="shared" si="72"/>
        <v>15.6</v>
      </c>
      <c r="G139" s="77">
        <f t="shared" si="72"/>
        <v>14</v>
      </c>
      <c r="H139" s="77">
        <f t="shared" si="72"/>
        <v>19.3</v>
      </c>
      <c r="I139" s="77">
        <f t="shared" si="72"/>
        <v>11.8</v>
      </c>
      <c r="J139" s="77">
        <f t="shared" si="72"/>
        <v>15.3</v>
      </c>
      <c r="K139" s="77">
        <f t="shared" si="72"/>
        <v>2690.7</v>
      </c>
      <c r="L139" s="77">
        <f>C139+K139</f>
        <v>7821.599999999999</v>
      </c>
      <c r="R139" s="79">
        <f>L138-L139</f>
        <v>700376.7000000001</v>
      </c>
      <c r="S139" s="77">
        <f>S30+S133</f>
        <v>2575.5</v>
      </c>
      <c r="T139" s="77">
        <f aca="true" t="shared" si="73" ref="T139:Z139">T15+T29+T44+T56</f>
        <v>0</v>
      </c>
      <c r="U139" s="77">
        <f t="shared" si="73"/>
        <v>1635</v>
      </c>
      <c r="V139" s="77">
        <f t="shared" si="73"/>
        <v>1235</v>
      </c>
      <c r="W139" s="77">
        <f t="shared" si="73"/>
        <v>1225</v>
      </c>
      <c r="X139" s="77">
        <f t="shared" si="73"/>
        <v>1338</v>
      </c>
      <c r="Y139" s="77">
        <f t="shared" si="73"/>
        <v>428</v>
      </c>
      <c r="Z139" s="77">
        <f t="shared" si="73"/>
        <v>1030</v>
      </c>
      <c r="AA139" s="77">
        <f>AA15+AA29+AA44+AA56</f>
        <v>6891</v>
      </c>
      <c r="AB139" s="77">
        <f>S139+AA139</f>
        <v>9466.5</v>
      </c>
    </row>
    <row r="140" spans="1:28" s="1" customFormat="1" ht="37.5">
      <c r="A140" s="56"/>
      <c r="B140" s="13" t="s">
        <v>200</v>
      </c>
      <c r="C140" s="95">
        <f>C138-C139</f>
        <v>609548.2</v>
      </c>
      <c r="D140" s="95">
        <f aca="true" t="shared" si="74" ref="D140:J140">D138-D139</f>
        <v>61848.1</v>
      </c>
      <c r="E140" s="95">
        <f t="shared" si="74"/>
        <v>2409.2</v>
      </c>
      <c r="F140" s="95">
        <f t="shared" si="74"/>
        <v>2796</v>
      </c>
      <c r="G140" s="95">
        <f t="shared" si="74"/>
        <v>1970.4</v>
      </c>
      <c r="H140" s="95">
        <f t="shared" si="74"/>
        <v>2772.8999999999996</v>
      </c>
      <c r="I140" s="95">
        <f t="shared" si="74"/>
        <v>2385.5</v>
      </c>
      <c r="J140" s="95">
        <f t="shared" si="74"/>
        <v>2864.1</v>
      </c>
      <c r="K140" s="95">
        <f>K138-K139</f>
        <v>82901.7</v>
      </c>
      <c r="L140" s="95">
        <f>C140+K140</f>
        <v>692449.8999999999</v>
      </c>
      <c r="R140" s="87"/>
      <c r="S140" s="95">
        <f>S138-S139</f>
        <v>622831.7</v>
      </c>
      <c r="T140" s="95">
        <f aca="true" t="shared" si="75" ref="T140:Z140">T138-T139</f>
        <v>79014.1</v>
      </c>
      <c r="U140" s="95">
        <f t="shared" si="75"/>
        <v>4062.5999999999995</v>
      </c>
      <c r="V140" s="95">
        <f t="shared" si="75"/>
        <v>3397.1000000000004</v>
      </c>
      <c r="W140" s="95">
        <f t="shared" si="75"/>
        <v>1921.1</v>
      </c>
      <c r="X140" s="95">
        <f t="shared" si="75"/>
        <v>4050.999999999999</v>
      </c>
      <c r="Y140" s="95">
        <f t="shared" si="75"/>
        <v>3002.2999999999997</v>
      </c>
      <c r="Z140" s="95">
        <f t="shared" si="75"/>
        <v>3251.5999999999995</v>
      </c>
      <c r="AA140" s="95">
        <f>AA138-AA139</f>
        <v>97199.79999999999</v>
      </c>
      <c r="AB140" s="95">
        <f>S140+AA140</f>
        <v>720031.5</v>
      </c>
    </row>
    <row r="141" spans="1:28" s="134" customFormat="1" ht="45.75" customHeight="1">
      <c r="A141" s="228"/>
      <c r="B141" s="229" t="s">
        <v>201</v>
      </c>
      <c r="C141" s="85">
        <f>0</f>
        <v>0</v>
      </c>
      <c r="D141" s="105">
        <v>0</v>
      </c>
      <c r="E141" s="105">
        <v>0</v>
      </c>
      <c r="F141" s="105">
        <v>0</v>
      </c>
      <c r="G141" s="105">
        <v>0</v>
      </c>
      <c r="H141" s="105">
        <v>0</v>
      </c>
      <c r="I141" s="105">
        <v>0</v>
      </c>
      <c r="J141" s="105">
        <v>0</v>
      </c>
      <c r="K141" s="85">
        <v>0</v>
      </c>
      <c r="L141" s="85">
        <f>0</f>
        <v>0</v>
      </c>
      <c r="R141" s="233"/>
      <c r="S141" s="85">
        <v>0</v>
      </c>
      <c r="T141" s="85">
        <v>0</v>
      </c>
      <c r="U141" s="85">
        <v>0</v>
      </c>
      <c r="V141" s="85">
        <v>0</v>
      </c>
      <c r="W141" s="85">
        <v>0</v>
      </c>
      <c r="X141" s="85">
        <v>0</v>
      </c>
      <c r="Y141" s="85">
        <v>0</v>
      </c>
      <c r="Z141" s="85">
        <v>0</v>
      </c>
      <c r="AA141" s="85">
        <v>0</v>
      </c>
      <c r="AB141" s="85">
        <v>8000</v>
      </c>
    </row>
    <row r="142" spans="1:28" s="134" customFormat="1" ht="53.25" customHeight="1">
      <c r="A142" s="228"/>
      <c r="B142" s="229" t="s">
        <v>202</v>
      </c>
      <c r="C142" s="85">
        <f>C143+C144+C145+C146+C147</f>
        <v>0</v>
      </c>
      <c r="D142" s="105"/>
      <c r="E142" s="105"/>
      <c r="F142" s="105"/>
      <c r="G142" s="105"/>
      <c r="H142" s="105"/>
      <c r="I142" s="105"/>
      <c r="J142" s="105"/>
      <c r="K142" s="85">
        <f>K143+K144</f>
        <v>0</v>
      </c>
      <c r="L142" s="85">
        <f t="shared" si="44"/>
        <v>0</v>
      </c>
      <c r="R142" s="234"/>
      <c r="S142" s="85">
        <f>S143+S144+S145+S146+S147</f>
        <v>0</v>
      </c>
      <c r="T142" s="85"/>
      <c r="U142" s="85"/>
      <c r="V142" s="85"/>
      <c r="W142" s="85"/>
      <c r="X142" s="85"/>
      <c r="Y142" s="85"/>
      <c r="Z142" s="246"/>
      <c r="AA142" s="85">
        <f>AA143+AA144</f>
        <v>0</v>
      </c>
      <c r="AB142" s="85">
        <f aca="true" t="shared" si="76" ref="AB142:AB147">S142+AA142</f>
        <v>0</v>
      </c>
    </row>
    <row r="143" spans="1:28" ht="44.25" customHeight="1">
      <c r="A143" s="67"/>
      <c r="B143" s="86" t="s">
        <v>203</v>
      </c>
      <c r="C143" s="77">
        <v>15500</v>
      </c>
      <c r="D143" s="96"/>
      <c r="E143" s="96"/>
      <c r="F143" s="96"/>
      <c r="G143" s="96"/>
      <c r="H143" s="96"/>
      <c r="I143" s="96"/>
      <c r="J143" s="96"/>
      <c r="K143" s="77">
        <f>0</f>
        <v>0</v>
      </c>
      <c r="L143" s="77">
        <f t="shared" si="44"/>
        <v>15500</v>
      </c>
      <c r="S143" s="77">
        <v>9600</v>
      </c>
      <c r="T143" s="77"/>
      <c r="U143" s="77"/>
      <c r="V143" s="77"/>
      <c r="W143" s="77"/>
      <c r="X143" s="77"/>
      <c r="Y143" s="77"/>
      <c r="Z143" s="248"/>
      <c r="AA143" s="77">
        <f>0</f>
        <v>0</v>
      </c>
      <c r="AB143" s="77">
        <f t="shared" si="76"/>
        <v>9600</v>
      </c>
    </row>
    <row r="144" spans="1:28" ht="44.25" customHeight="1">
      <c r="A144" s="59"/>
      <c r="B144" s="97" t="s">
        <v>204</v>
      </c>
      <c r="C144" s="77">
        <v>-8000</v>
      </c>
      <c r="D144" s="96"/>
      <c r="E144" s="96"/>
      <c r="F144" s="96"/>
      <c r="G144" s="96"/>
      <c r="H144" s="96"/>
      <c r="I144" s="96"/>
      <c r="J144" s="96"/>
      <c r="K144" s="77">
        <f>0</f>
        <v>0</v>
      </c>
      <c r="L144" s="77">
        <f t="shared" si="44"/>
        <v>-8000</v>
      </c>
      <c r="S144" s="77"/>
      <c r="T144" s="77"/>
      <c r="U144" s="77"/>
      <c r="V144" s="77"/>
      <c r="W144" s="77"/>
      <c r="X144" s="77"/>
      <c r="Y144" s="77"/>
      <c r="Z144" s="248"/>
      <c r="AA144" s="77">
        <f>0</f>
        <v>0</v>
      </c>
      <c r="AB144" s="77">
        <f t="shared" si="76"/>
        <v>0</v>
      </c>
    </row>
    <row r="145" spans="1:28" ht="63">
      <c r="A145" s="59"/>
      <c r="B145" s="97" t="s">
        <v>12</v>
      </c>
      <c r="C145" s="77">
        <v>0</v>
      </c>
      <c r="D145" s="96"/>
      <c r="E145" s="96"/>
      <c r="F145" s="96"/>
      <c r="G145" s="96"/>
      <c r="H145" s="96"/>
      <c r="I145" s="96"/>
      <c r="J145" s="96"/>
      <c r="K145" s="77">
        <v>0</v>
      </c>
      <c r="L145" s="77">
        <f t="shared" si="44"/>
        <v>0</v>
      </c>
      <c r="S145" s="77"/>
      <c r="T145" s="77"/>
      <c r="U145" s="77"/>
      <c r="V145" s="77"/>
      <c r="W145" s="77"/>
      <c r="X145" s="77"/>
      <c r="Y145" s="77"/>
      <c r="Z145" s="248"/>
      <c r="AA145" s="77">
        <v>0</v>
      </c>
      <c r="AB145" s="77">
        <f t="shared" si="76"/>
        <v>0</v>
      </c>
    </row>
    <row r="146" spans="1:28" ht="63">
      <c r="A146" s="59"/>
      <c r="B146" s="97" t="s">
        <v>5</v>
      </c>
      <c r="C146" s="77">
        <v>-7500</v>
      </c>
      <c r="D146" s="96"/>
      <c r="E146" s="96"/>
      <c r="F146" s="96"/>
      <c r="G146" s="96"/>
      <c r="H146" s="96"/>
      <c r="I146" s="96"/>
      <c r="J146" s="96"/>
      <c r="K146" s="77">
        <v>0</v>
      </c>
      <c r="L146" s="77">
        <f t="shared" si="44"/>
        <v>-7500</v>
      </c>
      <c r="S146" s="77">
        <v>-9600</v>
      </c>
      <c r="T146" s="77"/>
      <c r="U146" s="77"/>
      <c r="V146" s="77"/>
      <c r="W146" s="77"/>
      <c r="X146" s="77"/>
      <c r="Y146" s="77"/>
      <c r="Z146" s="248"/>
      <c r="AA146" s="77">
        <v>0</v>
      </c>
      <c r="AB146" s="77">
        <f t="shared" si="76"/>
        <v>-9600</v>
      </c>
    </row>
    <row r="147" spans="1:28" ht="16.5">
      <c r="A147" s="59"/>
      <c r="B147" s="88" t="s">
        <v>206</v>
      </c>
      <c r="C147" s="77">
        <v>0</v>
      </c>
      <c r="D147" s="96"/>
      <c r="E147" s="96"/>
      <c r="F147" s="96"/>
      <c r="G147" s="96"/>
      <c r="H147" s="96"/>
      <c r="I147" s="96"/>
      <c r="J147" s="96"/>
      <c r="K147" s="77">
        <v>0</v>
      </c>
      <c r="L147" s="77">
        <f t="shared" si="44"/>
        <v>0</v>
      </c>
      <c r="S147" s="77">
        <v>0</v>
      </c>
      <c r="T147" s="77"/>
      <c r="U147" s="77"/>
      <c r="V147" s="77"/>
      <c r="W147" s="77"/>
      <c r="X147" s="77"/>
      <c r="Y147" s="77"/>
      <c r="Z147" s="248"/>
      <c r="AA147" s="77">
        <v>0</v>
      </c>
      <c r="AB147" s="77">
        <f t="shared" si="76"/>
        <v>0</v>
      </c>
    </row>
    <row r="148" spans="1:28" ht="16.5">
      <c r="A148" s="98"/>
      <c r="B148" s="99"/>
      <c r="C148" s="100"/>
      <c r="D148" s="100"/>
      <c r="E148" s="100"/>
      <c r="F148" s="100"/>
      <c r="G148" s="100"/>
      <c r="H148" s="100"/>
      <c r="I148" s="100"/>
      <c r="J148" s="100"/>
      <c r="K148" s="77"/>
      <c r="L148" s="77"/>
      <c r="S148" s="100"/>
      <c r="T148" s="240"/>
      <c r="U148" s="240"/>
      <c r="V148" s="240"/>
      <c r="W148" s="240"/>
      <c r="X148" s="240"/>
      <c r="Y148" s="240"/>
      <c r="Z148" s="251"/>
      <c r="AA148" s="77"/>
      <c r="AB148" s="77"/>
    </row>
    <row r="149" spans="1:28" ht="16.5">
      <c r="A149" s="67"/>
      <c r="B149" s="63"/>
      <c r="C149" s="96"/>
      <c r="D149" s="96"/>
      <c r="E149" s="96"/>
      <c r="F149" s="96"/>
      <c r="G149" s="96"/>
      <c r="H149" s="96"/>
      <c r="I149" s="96"/>
      <c r="J149" s="96"/>
      <c r="K149" s="77"/>
      <c r="L149" s="77"/>
      <c r="S149" s="96"/>
      <c r="T149" s="77"/>
      <c r="U149" s="77"/>
      <c r="V149" s="77"/>
      <c r="W149" s="77"/>
      <c r="X149" s="77"/>
      <c r="Y149" s="77"/>
      <c r="Z149" s="248"/>
      <c r="AA149" s="77"/>
      <c r="AB149" s="77"/>
    </row>
    <row r="150" spans="1:26" ht="16.5">
      <c r="A150" s="2"/>
      <c r="C150" s="101"/>
      <c r="D150" s="101"/>
      <c r="E150" s="101"/>
      <c r="F150" s="101"/>
      <c r="G150" s="101"/>
      <c r="H150" s="101"/>
      <c r="I150" s="101"/>
      <c r="J150" s="101"/>
      <c r="S150" s="101"/>
      <c r="T150" s="241"/>
      <c r="U150" s="241"/>
      <c r="V150" s="241"/>
      <c r="W150" s="241"/>
      <c r="X150" s="241"/>
      <c r="Y150" s="241"/>
      <c r="Z150" s="252"/>
    </row>
    <row r="151" spans="1:27" ht="16.5">
      <c r="A151" s="2"/>
      <c r="B151" s="290" t="s">
        <v>288</v>
      </c>
      <c r="C151" s="290"/>
      <c r="D151" s="290"/>
      <c r="E151" s="290"/>
      <c r="F151" s="290"/>
      <c r="G151" s="290"/>
      <c r="H151" s="290"/>
      <c r="I151" s="290"/>
      <c r="J151" s="290"/>
      <c r="K151" s="290"/>
      <c r="S151" s="3"/>
      <c r="T151" s="242"/>
      <c r="U151" s="242"/>
      <c r="V151" s="242"/>
      <c r="W151" s="242"/>
      <c r="X151" s="242"/>
      <c r="Y151" s="242"/>
      <c r="AA151" s="3"/>
    </row>
    <row r="152" spans="1:26" ht="16.5">
      <c r="A152" s="2"/>
      <c r="C152" s="101"/>
      <c r="D152" s="101"/>
      <c r="E152" s="101"/>
      <c r="F152" s="101"/>
      <c r="G152" s="101"/>
      <c r="H152" s="101"/>
      <c r="I152" s="101"/>
      <c r="J152" s="101"/>
      <c r="S152" s="101"/>
      <c r="T152" s="241"/>
      <c r="U152" s="241"/>
      <c r="V152" s="241"/>
      <c r="W152" s="241"/>
      <c r="X152" s="241"/>
      <c r="Y152" s="241"/>
      <c r="Z152" s="252"/>
    </row>
    <row r="153" spans="1:26" ht="16.5">
      <c r="A153" s="2"/>
      <c r="C153" s="101"/>
      <c r="D153" s="101"/>
      <c r="E153" s="101"/>
      <c r="F153" s="101"/>
      <c r="G153" s="101"/>
      <c r="H153" s="101"/>
      <c r="I153" s="101"/>
      <c r="J153" s="101"/>
      <c r="S153" s="101"/>
      <c r="T153" s="241"/>
      <c r="U153" s="241"/>
      <c r="V153" s="241"/>
      <c r="W153" s="241"/>
      <c r="X153" s="241"/>
      <c r="Y153" s="241"/>
      <c r="Z153" s="252"/>
    </row>
    <row r="154" spans="1:26" ht="16.5">
      <c r="A154" s="2"/>
      <c r="C154" s="101"/>
      <c r="D154" s="101"/>
      <c r="E154" s="101"/>
      <c r="F154" s="101"/>
      <c r="G154" s="101"/>
      <c r="H154" s="101"/>
      <c r="I154" s="101"/>
      <c r="J154" s="101"/>
      <c r="S154" s="101"/>
      <c r="T154" s="241"/>
      <c r="U154" s="241"/>
      <c r="V154" s="241"/>
      <c r="W154" s="241"/>
      <c r="X154" s="241"/>
      <c r="Y154" s="241"/>
      <c r="Z154" s="252"/>
    </row>
    <row r="155" spans="1:26" ht="16.5">
      <c r="A155" s="2"/>
      <c r="C155" s="101"/>
      <c r="D155" s="101"/>
      <c r="E155" s="101"/>
      <c r="F155" s="101"/>
      <c r="G155" s="101"/>
      <c r="H155" s="101"/>
      <c r="I155" s="101"/>
      <c r="J155" s="101"/>
      <c r="S155" s="101"/>
      <c r="T155" s="241"/>
      <c r="U155" s="241"/>
      <c r="V155" s="241"/>
      <c r="W155" s="241"/>
      <c r="X155" s="241"/>
      <c r="Y155" s="241"/>
      <c r="Z155" s="252"/>
    </row>
    <row r="156" spans="1:26" ht="16.5">
      <c r="A156" s="2"/>
      <c r="C156" s="101"/>
      <c r="D156" s="101"/>
      <c r="E156" s="101"/>
      <c r="F156" s="101"/>
      <c r="G156" s="101"/>
      <c r="H156" s="101"/>
      <c r="I156" s="101"/>
      <c r="J156" s="101"/>
      <c r="S156" s="101"/>
      <c r="T156" s="241"/>
      <c r="U156" s="241"/>
      <c r="V156" s="241"/>
      <c r="W156" s="241"/>
      <c r="X156" s="241"/>
      <c r="Y156" s="241"/>
      <c r="Z156" s="252"/>
    </row>
    <row r="157" spans="1:26" ht="16.5">
      <c r="A157" s="2"/>
      <c r="C157" s="101"/>
      <c r="D157" s="101"/>
      <c r="E157" s="101"/>
      <c r="F157" s="101"/>
      <c r="G157" s="101"/>
      <c r="H157" s="101"/>
      <c r="I157" s="101"/>
      <c r="J157" s="101"/>
      <c r="S157" s="101"/>
      <c r="T157" s="241"/>
      <c r="U157" s="241"/>
      <c r="V157" s="241"/>
      <c r="W157" s="241"/>
      <c r="X157" s="241"/>
      <c r="Y157" s="241"/>
      <c r="Z157" s="252"/>
    </row>
    <row r="158" spans="1:26" ht="16.5">
      <c r="A158" s="2"/>
      <c r="C158" s="101"/>
      <c r="D158" s="101"/>
      <c r="E158" s="101"/>
      <c r="F158" s="101"/>
      <c r="G158" s="101"/>
      <c r="H158" s="101"/>
      <c r="I158" s="101"/>
      <c r="J158" s="101"/>
      <c r="S158" s="101"/>
      <c r="T158" s="241"/>
      <c r="U158" s="241"/>
      <c r="V158" s="241"/>
      <c r="W158" s="241"/>
      <c r="X158" s="241"/>
      <c r="Y158" s="241"/>
      <c r="Z158" s="252"/>
    </row>
    <row r="159" spans="1:26" ht="16.5">
      <c r="A159" s="2"/>
      <c r="C159" s="101"/>
      <c r="D159" s="101"/>
      <c r="E159" s="101"/>
      <c r="F159" s="101"/>
      <c r="G159" s="101"/>
      <c r="H159" s="101"/>
      <c r="I159" s="101"/>
      <c r="J159" s="101"/>
      <c r="S159" s="101"/>
      <c r="T159" s="241"/>
      <c r="U159" s="241"/>
      <c r="V159" s="241"/>
      <c r="W159" s="241"/>
      <c r="X159" s="241"/>
      <c r="Y159" s="241"/>
      <c r="Z159" s="252"/>
    </row>
    <row r="160" spans="1:26" ht="16.5">
      <c r="A160" s="2"/>
      <c r="C160" s="101"/>
      <c r="D160" s="101"/>
      <c r="E160" s="101"/>
      <c r="F160" s="101"/>
      <c r="G160" s="101"/>
      <c r="H160" s="101"/>
      <c r="I160" s="101"/>
      <c r="J160" s="101"/>
      <c r="S160" s="101"/>
      <c r="T160" s="241"/>
      <c r="U160" s="241"/>
      <c r="V160" s="241"/>
      <c r="W160" s="241"/>
      <c r="X160" s="241"/>
      <c r="Y160" s="241"/>
      <c r="Z160" s="252"/>
    </row>
    <row r="161" spans="1:26" ht="16.5">
      <c r="A161" s="2"/>
      <c r="C161" s="101"/>
      <c r="D161" s="101"/>
      <c r="E161" s="101"/>
      <c r="F161" s="101"/>
      <c r="G161" s="101"/>
      <c r="H161" s="101"/>
      <c r="I161" s="101"/>
      <c r="J161" s="101"/>
      <c r="S161" s="101"/>
      <c r="T161" s="241"/>
      <c r="U161" s="241"/>
      <c r="V161" s="241"/>
      <c r="W161" s="241"/>
      <c r="X161" s="241"/>
      <c r="Y161" s="241"/>
      <c r="Z161" s="252"/>
    </row>
    <row r="162" spans="1:26" ht="16.5">
      <c r="A162" s="2"/>
      <c r="C162" s="101"/>
      <c r="D162" s="101"/>
      <c r="E162" s="101"/>
      <c r="F162" s="101"/>
      <c r="G162" s="101"/>
      <c r="H162" s="101"/>
      <c r="I162" s="101"/>
      <c r="J162" s="101"/>
      <c r="S162" s="101"/>
      <c r="T162" s="241"/>
      <c r="U162" s="241"/>
      <c r="V162" s="241"/>
      <c r="W162" s="241"/>
      <c r="X162" s="241"/>
      <c r="Y162" s="241"/>
      <c r="Z162" s="252"/>
    </row>
    <row r="163" spans="1:26" ht="16.5">
      <c r="A163" s="2"/>
      <c r="C163" s="101"/>
      <c r="D163" s="101"/>
      <c r="E163" s="101"/>
      <c r="F163" s="101"/>
      <c r="G163" s="101"/>
      <c r="H163" s="101"/>
      <c r="I163" s="101"/>
      <c r="J163" s="101"/>
      <c r="S163" s="101"/>
      <c r="T163" s="241"/>
      <c r="U163" s="241"/>
      <c r="V163" s="241"/>
      <c r="W163" s="241"/>
      <c r="X163" s="241"/>
      <c r="Y163" s="241"/>
      <c r="Z163" s="252"/>
    </row>
    <row r="164" spans="1:26" ht="16.5">
      <c r="A164" s="2"/>
      <c r="C164" s="101"/>
      <c r="D164" s="101"/>
      <c r="E164" s="101"/>
      <c r="F164" s="101"/>
      <c r="G164" s="101"/>
      <c r="H164" s="101"/>
      <c r="I164" s="101"/>
      <c r="J164" s="101"/>
      <c r="S164" s="101"/>
      <c r="T164" s="241"/>
      <c r="U164" s="241"/>
      <c r="V164" s="241"/>
      <c r="W164" s="241"/>
      <c r="X164" s="241"/>
      <c r="Y164" s="241"/>
      <c r="Z164" s="252"/>
    </row>
    <row r="165" spans="1:26" ht="16.5">
      <c r="A165" s="2"/>
      <c r="C165" s="101"/>
      <c r="D165" s="101"/>
      <c r="E165" s="101"/>
      <c r="F165" s="101"/>
      <c r="G165" s="101"/>
      <c r="H165" s="101"/>
      <c r="I165" s="101"/>
      <c r="J165" s="101"/>
      <c r="S165" s="101"/>
      <c r="T165" s="241"/>
      <c r="U165" s="241"/>
      <c r="V165" s="241"/>
      <c r="W165" s="241"/>
      <c r="X165" s="241"/>
      <c r="Y165" s="241"/>
      <c r="Z165" s="252"/>
    </row>
    <row r="166" spans="1:26" ht="16.5">
      <c r="A166" s="2"/>
      <c r="C166" s="101"/>
      <c r="D166" s="101"/>
      <c r="E166" s="101"/>
      <c r="F166" s="101"/>
      <c r="G166" s="101"/>
      <c r="H166" s="101"/>
      <c r="I166" s="101"/>
      <c r="J166" s="101"/>
      <c r="S166" s="101"/>
      <c r="T166" s="241"/>
      <c r="U166" s="241"/>
      <c r="V166" s="241"/>
      <c r="W166" s="241"/>
      <c r="X166" s="241"/>
      <c r="Y166" s="241"/>
      <c r="Z166" s="252"/>
    </row>
    <row r="167" spans="1:26" ht="16.5">
      <c r="A167" s="2"/>
      <c r="C167" s="101"/>
      <c r="D167" s="101"/>
      <c r="E167" s="101"/>
      <c r="F167" s="101"/>
      <c r="G167" s="101"/>
      <c r="H167" s="101"/>
      <c r="I167" s="101"/>
      <c r="J167" s="101"/>
      <c r="S167" s="101"/>
      <c r="T167" s="241"/>
      <c r="U167" s="241"/>
      <c r="V167" s="241"/>
      <c r="W167" s="241"/>
      <c r="X167" s="241"/>
      <c r="Y167" s="241"/>
      <c r="Z167" s="252"/>
    </row>
    <row r="168" spans="1:26" ht="16.5">
      <c r="A168" s="2"/>
      <c r="C168" s="101"/>
      <c r="D168" s="101"/>
      <c r="E168" s="101"/>
      <c r="F168" s="101"/>
      <c r="G168" s="101"/>
      <c r="H168" s="101"/>
      <c r="I168" s="101"/>
      <c r="J168" s="101"/>
      <c r="S168" s="101"/>
      <c r="T168" s="241"/>
      <c r="U168" s="241"/>
      <c r="V168" s="241"/>
      <c r="W168" s="241"/>
      <c r="X168" s="241"/>
      <c r="Y168" s="241"/>
      <c r="Z168" s="252"/>
    </row>
    <row r="169" spans="1:26" ht="16.5">
      <c r="A169" s="2"/>
      <c r="C169" s="101"/>
      <c r="D169" s="101"/>
      <c r="E169" s="101"/>
      <c r="F169" s="101"/>
      <c r="G169" s="101"/>
      <c r="H169" s="101"/>
      <c r="I169" s="101"/>
      <c r="J169" s="101"/>
      <c r="S169" s="101"/>
      <c r="T169" s="241"/>
      <c r="U169" s="241"/>
      <c r="V169" s="241"/>
      <c r="W169" s="241"/>
      <c r="X169" s="241"/>
      <c r="Y169" s="241"/>
      <c r="Z169" s="252"/>
    </row>
    <row r="170" spans="1:26" ht="16.5">
      <c r="A170" s="2"/>
      <c r="C170" s="101"/>
      <c r="D170" s="101"/>
      <c r="E170" s="101"/>
      <c r="F170" s="101"/>
      <c r="G170" s="101"/>
      <c r="H170" s="101"/>
      <c r="I170" s="101"/>
      <c r="J170" s="101"/>
      <c r="S170" s="101"/>
      <c r="T170" s="241"/>
      <c r="U170" s="241"/>
      <c r="V170" s="241"/>
      <c r="W170" s="241"/>
      <c r="X170" s="241"/>
      <c r="Y170" s="241"/>
      <c r="Z170" s="252"/>
    </row>
    <row r="171" spans="1:26" ht="16.5">
      <c r="A171" s="2"/>
      <c r="C171" s="101"/>
      <c r="D171" s="101"/>
      <c r="E171" s="101"/>
      <c r="F171" s="101"/>
      <c r="G171" s="101"/>
      <c r="H171" s="101"/>
      <c r="I171" s="101"/>
      <c r="J171" s="101"/>
      <c r="S171" s="101"/>
      <c r="T171" s="241"/>
      <c r="U171" s="241"/>
      <c r="V171" s="241"/>
      <c r="W171" s="241"/>
      <c r="X171" s="241"/>
      <c r="Y171" s="241"/>
      <c r="Z171" s="252"/>
    </row>
    <row r="172" spans="1:26" ht="16.5">
      <c r="A172" s="2"/>
      <c r="C172" s="101"/>
      <c r="D172" s="101"/>
      <c r="E172" s="101"/>
      <c r="F172" s="101"/>
      <c r="G172" s="101"/>
      <c r="H172" s="101"/>
      <c r="I172" s="101"/>
      <c r="J172" s="101"/>
      <c r="S172" s="101"/>
      <c r="T172" s="241"/>
      <c r="U172" s="241"/>
      <c r="V172" s="241"/>
      <c r="W172" s="241"/>
      <c r="X172" s="241"/>
      <c r="Y172" s="241"/>
      <c r="Z172" s="252"/>
    </row>
    <row r="173" spans="1:26" ht="16.5">
      <c r="A173" s="2"/>
      <c r="C173" s="101"/>
      <c r="D173" s="101"/>
      <c r="E173" s="101"/>
      <c r="F173" s="101"/>
      <c r="G173" s="101"/>
      <c r="H173" s="101"/>
      <c r="I173" s="101"/>
      <c r="J173" s="101"/>
      <c r="S173" s="101"/>
      <c r="T173" s="241"/>
      <c r="U173" s="241"/>
      <c r="V173" s="241"/>
      <c r="W173" s="241"/>
      <c r="X173" s="241"/>
      <c r="Y173" s="241"/>
      <c r="Z173" s="252"/>
    </row>
    <row r="174" spans="1:26" ht="16.5">
      <c r="A174" s="2"/>
      <c r="C174" s="101"/>
      <c r="D174" s="101"/>
      <c r="E174" s="101"/>
      <c r="F174" s="101"/>
      <c r="G174" s="101"/>
      <c r="H174" s="101"/>
      <c r="I174" s="101"/>
      <c r="J174" s="101"/>
      <c r="S174" s="101"/>
      <c r="T174" s="241"/>
      <c r="U174" s="241"/>
      <c r="V174" s="241"/>
      <c r="W174" s="241"/>
      <c r="X174" s="241"/>
      <c r="Y174" s="241"/>
      <c r="Z174" s="252"/>
    </row>
    <row r="175" spans="1:26" ht="16.5">
      <c r="A175" s="2"/>
      <c r="C175" s="101"/>
      <c r="D175" s="101"/>
      <c r="E175" s="101"/>
      <c r="F175" s="101"/>
      <c r="G175" s="101"/>
      <c r="H175" s="101"/>
      <c r="I175" s="101"/>
      <c r="J175" s="101"/>
      <c r="S175" s="101"/>
      <c r="T175" s="241"/>
      <c r="U175" s="241"/>
      <c r="V175" s="241"/>
      <c r="W175" s="241"/>
      <c r="X175" s="241"/>
      <c r="Y175" s="241"/>
      <c r="Z175" s="252"/>
    </row>
    <row r="176" spans="1:26" ht="16.5">
      <c r="A176" s="2"/>
      <c r="C176" s="101"/>
      <c r="D176" s="101"/>
      <c r="E176" s="101"/>
      <c r="F176" s="101"/>
      <c r="G176" s="101"/>
      <c r="H176" s="101"/>
      <c r="I176" s="101"/>
      <c r="J176" s="101"/>
      <c r="S176" s="101"/>
      <c r="T176" s="241"/>
      <c r="U176" s="241"/>
      <c r="V176" s="241"/>
      <c r="W176" s="241"/>
      <c r="X176" s="241"/>
      <c r="Y176" s="241"/>
      <c r="Z176" s="252"/>
    </row>
    <row r="177" spans="1:26" ht="16.5">
      <c r="A177" s="2"/>
      <c r="C177" s="101"/>
      <c r="D177" s="101"/>
      <c r="E177" s="101"/>
      <c r="F177" s="101"/>
      <c r="G177" s="101"/>
      <c r="H177" s="101"/>
      <c r="I177" s="101"/>
      <c r="J177" s="101"/>
      <c r="S177" s="101"/>
      <c r="T177" s="241"/>
      <c r="U177" s="241"/>
      <c r="V177" s="241"/>
      <c r="W177" s="241"/>
      <c r="X177" s="241"/>
      <c r="Y177" s="241"/>
      <c r="Z177" s="252"/>
    </row>
    <row r="178" spans="1:26" ht="16.5">
      <c r="A178" s="2"/>
      <c r="C178" s="101"/>
      <c r="D178" s="101"/>
      <c r="E178" s="101"/>
      <c r="F178" s="101"/>
      <c r="G178" s="101"/>
      <c r="H178" s="101"/>
      <c r="I178" s="101"/>
      <c r="J178" s="101"/>
      <c r="S178" s="101"/>
      <c r="T178" s="241"/>
      <c r="U178" s="241"/>
      <c r="V178" s="241"/>
      <c r="W178" s="241"/>
      <c r="X178" s="241"/>
      <c r="Y178" s="241"/>
      <c r="Z178" s="252"/>
    </row>
    <row r="179" spans="1:26" ht="16.5">
      <c r="A179" s="2"/>
      <c r="C179" s="101"/>
      <c r="D179" s="101"/>
      <c r="E179" s="101"/>
      <c r="F179" s="101"/>
      <c r="G179" s="101"/>
      <c r="H179" s="101"/>
      <c r="I179" s="101"/>
      <c r="J179" s="101"/>
      <c r="S179" s="101"/>
      <c r="T179" s="241"/>
      <c r="U179" s="241"/>
      <c r="V179" s="241"/>
      <c r="W179" s="241"/>
      <c r="X179" s="241"/>
      <c r="Y179" s="241"/>
      <c r="Z179" s="252"/>
    </row>
    <row r="180" spans="1:26" ht="16.5">
      <c r="A180" s="2"/>
      <c r="C180" s="101"/>
      <c r="D180" s="101"/>
      <c r="E180" s="101"/>
      <c r="F180" s="101"/>
      <c r="G180" s="101"/>
      <c r="H180" s="101"/>
      <c r="I180" s="101"/>
      <c r="J180" s="101"/>
      <c r="S180" s="101"/>
      <c r="T180" s="241"/>
      <c r="U180" s="241"/>
      <c r="V180" s="241"/>
      <c r="W180" s="241"/>
      <c r="X180" s="241"/>
      <c r="Y180" s="241"/>
      <c r="Z180" s="252"/>
    </row>
    <row r="181" spans="1:26" ht="16.5">
      <c r="A181" s="2"/>
      <c r="C181" s="101"/>
      <c r="D181" s="101"/>
      <c r="E181" s="101"/>
      <c r="F181" s="101"/>
      <c r="G181" s="101"/>
      <c r="H181" s="101"/>
      <c r="I181" s="101"/>
      <c r="J181" s="101"/>
      <c r="S181" s="101"/>
      <c r="T181" s="241"/>
      <c r="U181" s="241"/>
      <c r="V181" s="241"/>
      <c r="W181" s="241"/>
      <c r="X181" s="241"/>
      <c r="Y181" s="241"/>
      <c r="Z181" s="252"/>
    </row>
    <row r="182" spans="1:26" ht="16.5">
      <c r="A182" s="2"/>
      <c r="C182" s="101"/>
      <c r="D182" s="101"/>
      <c r="E182" s="101"/>
      <c r="F182" s="101"/>
      <c r="G182" s="101"/>
      <c r="H182" s="101"/>
      <c r="I182" s="101"/>
      <c r="J182" s="101"/>
      <c r="S182" s="101"/>
      <c r="T182" s="241"/>
      <c r="U182" s="241"/>
      <c r="V182" s="241"/>
      <c r="W182" s="241"/>
      <c r="X182" s="241"/>
      <c r="Y182" s="241"/>
      <c r="Z182" s="252"/>
    </row>
    <row r="183" spans="1:26" ht="16.5">
      <c r="A183" s="2"/>
      <c r="C183" s="101"/>
      <c r="D183" s="101"/>
      <c r="E183" s="101"/>
      <c r="F183" s="101"/>
      <c r="G183" s="101"/>
      <c r="H183" s="101"/>
      <c r="I183" s="101"/>
      <c r="J183" s="101"/>
      <c r="S183" s="101"/>
      <c r="T183" s="241"/>
      <c r="U183" s="241"/>
      <c r="V183" s="241"/>
      <c r="W183" s="241"/>
      <c r="X183" s="241"/>
      <c r="Y183" s="241"/>
      <c r="Z183" s="252"/>
    </row>
    <row r="184" spans="1:26" ht="16.5">
      <c r="A184" s="2"/>
      <c r="C184" s="101"/>
      <c r="D184" s="101"/>
      <c r="E184" s="101"/>
      <c r="F184" s="101"/>
      <c r="G184" s="101"/>
      <c r="H184" s="101"/>
      <c r="I184" s="101"/>
      <c r="J184" s="101"/>
      <c r="S184" s="101"/>
      <c r="T184" s="241"/>
      <c r="U184" s="241"/>
      <c r="V184" s="241"/>
      <c r="W184" s="241"/>
      <c r="X184" s="241"/>
      <c r="Y184" s="241"/>
      <c r="Z184" s="252"/>
    </row>
    <row r="185" spans="1:26" ht="16.5">
      <c r="A185" s="2"/>
      <c r="C185" s="101"/>
      <c r="D185" s="101"/>
      <c r="E185" s="101"/>
      <c r="F185" s="101"/>
      <c r="G185" s="101"/>
      <c r="H185" s="101"/>
      <c r="I185" s="101"/>
      <c r="J185" s="101"/>
      <c r="S185" s="101"/>
      <c r="T185" s="241"/>
      <c r="U185" s="241"/>
      <c r="V185" s="241"/>
      <c r="W185" s="241"/>
      <c r="X185" s="241"/>
      <c r="Y185" s="241"/>
      <c r="Z185" s="252"/>
    </row>
    <row r="186" spans="1:26" ht="16.5">
      <c r="A186" s="2"/>
      <c r="C186" s="101"/>
      <c r="D186" s="101"/>
      <c r="E186" s="101"/>
      <c r="F186" s="101"/>
      <c r="G186" s="101"/>
      <c r="H186" s="101"/>
      <c r="I186" s="101"/>
      <c r="J186" s="101"/>
      <c r="S186" s="101"/>
      <c r="T186" s="241"/>
      <c r="U186" s="241"/>
      <c r="V186" s="241"/>
      <c r="W186" s="241"/>
      <c r="X186" s="241"/>
      <c r="Y186" s="241"/>
      <c r="Z186" s="252"/>
    </row>
    <row r="187" spans="1:26" ht="16.5">
      <c r="A187" s="2"/>
      <c r="C187" s="101"/>
      <c r="D187" s="101"/>
      <c r="E187" s="101"/>
      <c r="F187" s="101"/>
      <c r="G187" s="101"/>
      <c r="H187" s="101"/>
      <c r="I187" s="101"/>
      <c r="J187" s="101"/>
      <c r="S187" s="101"/>
      <c r="T187" s="241"/>
      <c r="U187" s="241"/>
      <c r="V187" s="241"/>
      <c r="W187" s="241"/>
      <c r="X187" s="241"/>
      <c r="Y187" s="241"/>
      <c r="Z187" s="252"/>
    </row>
    <row r="188" spans="1:26" ht="16.5">
      <c r="A188" s="2"/>
      <c r="C188" s="101"/>
      <c r="D188" s="101"/>
      <c r="E188" s="101"/>
      <c r="F188" s="101"/>
      <c r="G188" s="101"/>
      <c r="H188" s="101"/>
      <c r="I188" s="101"/>
      <c r="J188" s="101"/>
      <c r="S188" s="101"/>
      <c r="T188" s="241"/>
      <c r="U188" s="241"/>
      <c r="V188" s="241"/>
      <c r="W188" s="241"/>
      <c r="X188" s="241"/>
      <c r="Y188" s="241"/>
      <c r="Z188" s="252"/>
    </row>
    <row r="189" spans="1:26" ht="16.5">
      <c r="A189" s="2"/>
      <c r="C189" s="101"/>
      <c r="D189" s="101"/>
      <c r="E189" s="101"/>
      <c r="F189" s="101"/>
      <c r="G189" s="101"/>
      <c r="H189" s="101"/>
      <c r="I189" s="101"/>
      <c r="J189" s="101"/>
      <c r="S189" s="101"/>
      <c r="T189" s="241"/>
      <c r="U189" s="241"/>
      <c r="V189" s="241"/>
      <c r="W189" s="241"/>
      <c r="X189" s="241"/>
      <c r="Y189" s="241"/>
      <c r="Z189" s="252"/>
    </row>
    <row r="190" spans="1:26" ht="16.5">
      <c r="A190" s="2"/>
      <c r="C190" s="101"/>
      <c r="D190" s="101"/>
      <c r="E190" s="101"/>
      <c r="F190" s="101"/>
      <c r="G190" s="101"/>
      <c r="H190" s="101"/>
      <c r="I190" s="101"/>
      <c r="J190" s="101"/>
      <c r="S190" s="101"/>
      <c r="T190" s="241"/>
      <c r="U190" s="241"/>
      <c r="V190" s="241"/>
      <c r="W190" s="241"/>
      <c r="X190" s="241"/>
      <c r="Y190" s="241"/>
      <c r="Z190" s="252"/>
    </row>
    <row r="191" spans="1:26" ht="16.5">
      <c r="A191" s="2"/>
      <c r="C191" s="101"/>
      <c r="D191" s="101"/>
      <c r="E191" s="101"/>
      <c r="F191" s="101"/>
      <c r="G191" s="101"/>
      <c r="H191" s="101"/>
      <c r="I191" s="101"/>
      <c r="J191" s="101"/>
      <c r="S191" s="101"/>
      <c r="T191" s="241"/>
      <c r="U191" s="241"/>
      <c r="V191" s="241"/>
      <c r="W191" s="241"/>
      <c r="X191" s="241"/>
      <c r="Y191" s="241"/>
      <c r="Z191" s="252"/>
    </row>
    <row r="192" spans="1:26" ht="16.5">
      <c r="A192" s="2"/>
      <c r="C192" s="101"/>
      <c r="D192" s="101"/>
      <c r="E192" s="101"/>
      <c r="F192" s="101"/>
      <c r="G192" s="101"/>
      <c r="H192" s="101"/>
      <c r="I192" s="101"/>
      <c r="J192" s="101"/>
      <c r="S192" s="101"/>
      <c r="T192" s="241"/>
      <c r="U192" s="241"/>
      <c r="V192" s="241"/>
      <c r="W192" s="241"/>
      <c r="X192" s="241"/>
      <c r="Y192" s="241"/>
      <c r="Z192" s="252"/>
    </row>
    <row r="193" spans="1:26" ht="16.5">
      <c r="A193" s="2"/>
      <c r="C193" s="101"/>
      <c r="D193" s="101"/>
      <c r="E193" s="101"/>
      <c r="F193" s="101"/>
      <c r="G193" s="101"/>
      <c r="H193" s="101"/>
      <c r="I193" s="101"/>
      <c r="J193" s="101"/>
      <c r="S193" s="101"/>
      <c r="T193" s="241"/>
      <c r="U193" s="241"/>
      <c r="V193" s="241"/>
      <c r="W193" s="241"/>
      <c r="X193" s="241"/>
      <c r="Y193" s="241"/>
      <c r="Z193" s="252"/>
    </row>
    <row r="194" spans="1:26" ht="16.5">
      <c r="A194" s="2"/>
      <c r="C194" s="101"/>
      <c r="D194" s="101"/>
      <c r="E194" s="101"/>
      <c r="F194" s="101"/>
      <c r="G194" s="101"/>
      <c r="H194" s="101"/>
      <c r="I194" s="101"/>
      <c r="J194" s="101"/>
      <c r="S194" s="101"/>
      <c r="T194" s="241"/>
      <c r="U194" s="241"/>
      <c r="V194" s="241"/>
      <c r="W194" s="241"/>
      <c r="X194" s="241"/>
      <c r="Y194" s="241"/>
      <c r="Z194" s="252"/>
    </row>
    <row r="195" spans="1:26" ht="16.5">
      <c r="A195" s="2"/>
      <c r="C195" s="101"/>
      <c r="D195" s="101"/>
      <c r="E195" s="101"/>
      <c r="F195" s="101"/>
      <c r="G195" s="101"/>
      <c r="H195" s="101"/>
      <c r="I195" s="101"/>
      <c r="J195" s="101"/>
      <c r="S195" s="101"/>
      <c r="T195" s="241"/>
      <c r="U195" s="241"/>
      <c r="V195" s="241"/>
      <c r="W195" s="241"/>
      <c r="X195" s="241"/>
      <c r="Y195" s="241"/>
      <c r="Z195" s="252"/>
    </row>
    <row r="196" spans="1:26" ht="16.5">
      <c r="A196" s="2"/>
      <c r="C196" s="101"/>
      <c r="D196" s="101"/>
      <c r="E196" s="101"/>
      <c r="F196" s="101"/>
      <c r="G196" s="101"/>
      <c r="H196" s="101"/>
      <c r="I196" s="101"/>
      <c r="J196" s="101"/>
      <c r="S196" s="101"/>
      <c r="T196" s="241"/>
      <c r="U196" s="241"/>
      <c r="V196" s="241"/>
      <c r="W196" s="241"/>
      <c r="X196" s="241"/>
      <c r="Y196" s="241"/>
      <c r="Z196" s="252"/>
    </row>
    <row r="197" spans="1:26" ht="16.5">
      <c r="A197" s="2"/>
      <c r="C197" s="101"/>
      <c r="D197" s="101"/>
      <c r="E197" s="101"/>
      <c r="F197" s="101"/>
      <c r="G197" s="101"/>
      <c r="H197" s="101"/>
      <c r="I197" s="101"/>
      <c r="J197" s="101"/>
      <c r="S197" s="101"/>
      <c r="T197" s="241"/>
      <c r="U197" s="241"/>
      <c r="V197" s="241"/>
      <c r="W197" s="241"/>
      <c r="X197" s="241"/>
      <c r="Y197" s="241"/>
      <c r="Z197" s="252"/>
    </row>
    <row r="198" spans="1:26" ht="16.5">
      <c r="A198" s="2"/>
      <c r="C198" s="101"/>
      <c r="D198" s="101"/>
      <c r="E198" s="101"/>
      <c r="F198" s="101"/>
      <c r="G198" s="101"/>
      <c r="H198" s="101"/>
      <c r="I198" s="101"/>
      <c r="J198" s="101"/>
      <c r="S198" s="101"/>
      <c r="T198" s="241"/>
      <c r="U198" s="241"/>
      <c r="V198" s="241"/>
      <c r="W198" s="241"/>
      <c r="X198" s="241"/>
      <c r="Y198" s="241"/>
      <c r="Z198" s="252"/>
    </row>
    <row r="199" spans="1:26" ht="16.5">
      <c r="A199" s="2"/>
      <c r="C199" s="101"/>
      <c r="D199" s="101"/>
      <c r="E199" s="101"/>
      <c r="F199" s="101"/>
      <c r="G199" s="101"/>
      <c r="H199" s="101"/>
      <c r="I199" s="101"/>
      <c r="J199" s="101"/>
      <c r="S199" s="101"/>
      <c r="T199" s="241"/>
      <c r="U199" s="241"/>
      <c r="V199" s="241"/>
      <c r="W199" s="241"/>
      <c r="X199" s="241"/>
      <c r="Y199" s="241"/>
      <c r="Z199" s="252"/>
    </row>
    <row r="200" spans="1:26" ht="16.5">
      <c r="A200" s="2"/>
      <c r="C200" s="101"/>
      <c r="D200" s="101"/>
      <c r="E200" s="101"/>
      <c r="F200" s="101"/>
      <c r="G200" s="101"/>
      <c r="H200" s="101"/>
      <c r="I200" s="101"/>
      <c r="J200" s="101"/>
      <c r="S200" s="101"/>
      <c r="T200" s="241"/>
      <c r="U200" s="241"/>
      <c r="V200" s="241"/>
      <c r="W200" s="241"/>
      <c r="X200" s="241"/>
      <c r="Y200" s="241"/>
      <c r="Z200" s="252"/>
    </row>
    <row r="201" spans="1:26" ht="16.5">
      <c r="A201" s="2"/>
      <c r="C201" s="101"/>
      <c r="D201" s="101"/>
      <c r="E201" s="101"/>
      <c r="F201" s="101"/>
      <c r="G201" s="101"/>
      <c r="H201" s="101"/>
      <c r="I201" s="101"/>
      <c r="J201" s="101"/>
      <c r="S201" s="101"/>
      <c r="T201" s="241"/>
      <c r="U201" s="241"/>
      <c r="V201" s="241"/>
      <c r="W201" s="241"/>
      <c r="X201" s="241"/>
      <c r="Y201" s="241"/>
      <c r="Z201" s="252"/>
    </row>
    <row r="202" spans="1:26" ht="16.5">
      <c r="A202" s="2"/>
      <c r="C202" s="101"/>
      <c r="D202" s="101"/>
      <c r="E202" s="101"/>
      <c r="F202" s="101"/>
      <c r="G202" s="101"/>
      <c r="H202" s="101"/>
      <c r="I202" s="101"/>
      <c r="J202" s="101"/>
      <c r="S202" s="101"/>
      <c r="T202" s="241"/>
      <c r="U202" s="241"/>
      <c r="V202" s="241"/>
      <c r="W202" s="241"/>
      <c r="X202" s="241"/>
      <c r="Y202" s="241"/>
      <c r="Z202" s="252"/>
    </row>
    <row r="203" spans="1:26" ht="16.5">
      <c r="A203" s="2"/>
      <c r="C203" s="101"/>
      <c r="D203" s="101"/>
      <c r="E203" s="101"/>
      <c r="F203" s="101"/>
      <c r="G203" s="101"/>
      <c r="H203" s="101"/>
      <c r="I203" s="101"/>
      <c r="J203" s="101"/>
      <c r="S203" s="101"/>
      <c r="T203" s="241"/>
      <c r="U203" s="241"/>
      <c r="V203" s="241"/>
      <c r="W203" s="241"/>
      <c r="X203" s="241"/>
      <c r="Y203" s="241"/>
      <c r="Z203" s="252"/>
    </row>
    <row r="204" spans="1:26" ht="16.5">
      <c r="A204" s="2"/>
      <c r="C204" s="101"/>
      <c r="D204" s="101"/>
      <c r="E204" s="101"/>
      <c r="F204" s="101"/>
      <c r="G204" s="101"/>
      <c r="H204" s="101"/>
      <c r="I204" s="101"/>
      <c r="J204" s="101"/>
      <c r="S204" s="101"/>
      <c r="T204" s="241"/>
      <c r="U204" s="241"/>
      <c r="V204" s="241"/>
      <c r="W204" s="241"/>
      <c r="X204" s="241"/>
      <c r="Y204" s="241"/>
      <c r="Z204" s="252"/>
    </row>
    <row r="205" spans="1:26" ht="16.5">
      <c r="A205" s="2"/>
      <c r="C205" s="101"/>
      <c r="D205" s="101"/>
      <c r="E205" s="101"/>
      <c r="F205" s="101"/>
      <c r="G205" s="101"/>
      <c r="H205" s="101"/>
      <c r="I205" s="101"/>
      <c r="J205" s="101"/>
      <c r="S205" s="101"/>
      <c r="T205" s="241"/>
      <c r="U205" s="241"/>
      <c r="V205" s="241"/>
      <c r="W205" s="241"/>
      <c r="X205" s="241"/>
      <c r="Y205" s="241"/>
      <c r="Z205" s="252"/>
    </row>
    <row r="206" spans="1:26" ht="16.5">
      <c r="A206" s="2"/>
      <c r="C206" s="101"/>
      <c r="D206" s="101"/>
      <c r="E206" s="101"/>
      <c r="F206" s="101"/>
      <c r="G206" s="101"/>
      <c r="H206" s="101"/>
      <c r="I206" s="101"/>
      <c r="J206" s="101"/>
      <c r="S206" s="101"/>
      <c r="T206" s="241"/>
      <c r="U206" s="241"/>
      <c r="V206" s="241"/>
      <c r="W206" s="241"/>
      <c r="X206" s="241"/>
      <c r="Y206" s="241"/>
      <c r="Z206" s="252"/>
    </row>
    <row r="207" spans="1:26" ht="16.5">
      <c r="A207" s="2"/>
      <c r="C207" s="101"/>
      <c r="D207" s="101"/>
      <c r="E207" s="101"/>
      <c r="F207" s="101"/>
      <c r="G207" s="101"/>
      <c r="H207" s="101"/>
      <c r="I207" s="101"/>
      <c r="J207" s="101"/>
      <c r="S207" s="101"/>
      <c r="T207" s="241"/>
      <c r="U207" s="241"/>
      <c r="V207" s="241"/>
      <c r="W207" s="241"/>
      <c r="X207" s="241"/>
      <c r="Y207" s="241"/>
      <c r="Z207" s="252"/>
    </row>
    <row r="208" spans="1:26" ht="16.5">
      <c r="A208" s="2"/>
      <c r="C208" s="101"/>
      <c r="D208" s="101"/>
      <c r="E208" s="101"/>
      <c r="F208" s="101"/>
      <c r="G208" s="101"/>
      <c r="H208" s="101"/>
      <c r="I208" s="101"/>
      <c r="J208" s="101"/>
      <c r="S208" s="101"/>
      <c r="T208" s="241"/>
      <c r="U208" s="241"/>
      <c r="V208" s="241"/>
      <c r="W208" s="241"/>
      <c r="X208" s="241"/>
      <c r="Y208" s="241"/>
      <c r="Z208" s="252"/>
    </row>
    <row r="209" spans="1:26" ht="16.5">
      <c r="A209" s="2"/>
      <c r="C209" s="101"/>
      <c r="D209" s="101"/>
      <c r="E209" s="101"/>
      <c r="F209" s="101"/>
      <c r="G209" s="101"/>
      <c r="H209" s="101"/>
      <c r="I209" s="101"/>
      <c r="J209" s="101"/>
      <c r="S209" s="101"/>
      <c r="T209" s="241"/>
      <c r="U209" s="241"/>
      <c r="V209" s="241"/>
      <c r="W209" s="241"/>
      <c r="X209" s="241"/>
      <c r="Y209" s="241"/>
      <c r="Z209" s="252"/>
    </row>
    <row r="210" spans="1:26" ht="16.5">
      <c r="A210" s="2"/>
      <c r="C210" s="101"/>
      <c r="D210" s="101"/>
      <c r="E210" s="101"/>
      <c r="F210" s="101"/>
      <c r="G210" s="101"/>
      <c r="H210" s="101"/>
      <c r="I210" s="101"/>
      <c r="J210" s="101"/>
      <c r="S210" s="101"/>
      <c r="T210" s="241"/>
      <c r="U210" s="241"/>
      <c r="V210" s="241"/>
      <c r="W210" s="241"/>
      <c r="X210" s="241"/>
      <c r="Y210" s="241"/>
      <c r="Z210" s="252"/>
    </row>
    <row r="211" spans="1:26" ht="16.5">
      <c r="A211" s="2"/>
      <c r="C211" s="101"/>
      <c r="D211" s="101"/>
      <c r="E211" s="101"/>
      <c r="F211" s="101"/>
      <c r="G211" s="101"/>
      <c r="H211" s="101"/>
      <c r="I211" s="101"/>
      <c r="J211" s="101"/>
      <c r="S211" s="101"/>
      <c r="T211" s="241"/>
      <c r="U211" s="241"/>
      <c r="V211" s="241"/>
      <c r="W211" s="241"/>
      <c r="X211" s="241"/>
      <c r="Y211" s="241"/>
      <c r="Z211" s="252"/>
    </row>
    <row r="212" spans="3:26" ht="16.5">
      <c r="C212" s="101"/>
      <c r="D212" s="101"/>
      <c r="E212" s="101"/>
      <c r="F212" s="101"/>
      <c r="G212" s="101"/>
      <c r="H212" s="101"/>
      <c r="I212" s="101"/>
      <c r="J212" s="101"/>
      <c r="S212" s="101"/>
      <c r="T212" s="241"/>
      <c r="U212" s="241"/>
      <c r="V212" s="241"/>
      <c r="W212" s="241"/>
      <c r="X212" s="241"/>
      <c r="Y212" s="241"/>
      <c r="Z212" s="252"/>
    </row>
    <row r="213" spans="3:26" ht="16.5">
      <c r="C213" s="101"/>
      <c r="D213" s="101"/>
      <c r="E213" s="101"/>
      <c r="F213" s="101"/>
      <c r="G213" s="101"/>
      <c r="H213" s="101"/>
      <c r="I213" s="101"/>
      <c r="J213" s="101"/>
      <c r="S213" s="101"/>
      <c r="T213" s="241"/>
      <c r="U213" s="241"/>
      <c r="V213" s="241"/>
      <c r="W213" s="241"/>
      <c r="X213" s="241"/>
      <c r="Y213" s="241"/>
      <c r="Z213" s="252"/>
    </row>
    <row r="214" spans="3:26" ht="16.5">
      <c r="C214" s="101"/>
      <c r="D214" s="101"/>
      <c r="E214" s="101"/>
      <c r="F214" s="101"/>
      <c r="G214" s="101"/>
      <c r="H214" s="101"/>
      <c r="I214" s="101"/>
      <c r="J214" s="101"/>
      <c r="S214" s="101"/>
      <c r="T214" s="241"/>
      <c r="U214" s="241"/>
      <c r="V214" s="241"/>
      <c r="W214" s="241"/>
      <c r="X214" s="241"/>
      <c r="Y214" s="241"/>
      <c r="Z214" s="252"/>
    </row>
    <row r="215" spans="3:26" ht="16.5">
      <c r="C215" s="101"/>
      <c r="D215" s="101"/>
      <c r="E215" s="101"/>
      <c r="F215" s="101"/>
      <c r="G215" s="101"/>
      <c r="H215" s="101"/>
      <c r="I215" s="101"/>
      <c r="J215" s="101"/>
      <c r="S215" s="101"/>
      <c r="T215" s="241"/>
      <c r="U215" s="241"/>
      <c r="V215" s="241"/>
      <c r="W215" s="241"/>
      <c r="X215" s="241"/>
      <c r="Y215" s="241"/>
      <c r="Z215" s="252"/>
    </row>
    <row r="216" spans="3:26" ht="16.5">
      <c r="C216" s="101"/>
      <c r="D216" s="101"/>
      <c r="E216" s="101"/>
      <c r="F216" s="101"/>
      <c r="G216" s="101"/>
      <c r="H216" s="101"/>
      <c r="I216" s="101"/>
      <c r="J216" s="101"/>
      <c r="S216" s="101"/>
      <c r="T216" s="241"/>
      <c r="U216" s="241"/>
      <c r="V216" s="241"/>
      <c r="W216" s="241"/>
      <c r="X216" s="241"/>
      <c r="Y216" s="241"/>
      <c r="Z216" s="252"/>
    </row>
    <row r="217" spans="3:26" ht="16.5">
      <c r="C217" s="101"/>
      <c r="D217" s="101"/>
      <c r="E217" s="101"/>
      <c r="F217" s="101"/>
      <c r="G217" s="101"/>
      <c r="H217" s="101"/>
      <c r="I217" s="101"/>
      <c r="J217" s="101"/>
      <c r="S217" s="101"/>
      <c r="T217" s="241"/>
      <c r="U217" s="241"/>
      <c r="V217" s="241"/>
      <c r="W217" s="241"/>
      <c r="X217" s="241"/>
      <c r="Y217" s="241"/>
      <c r="Z217" s="252"/>
    </row>
    <row r="218" spans="3:26" ht="16.5">
      <c r="C218" s="101"/>
      <c r="D218" s="101"/>
      <c r="E218" s="101"/>
      <c r="F218" s="101"/>
      <c r="G218" s="101"/>
      <c r="H218" s="101"/>
      <c r="I218" s="101"/>
      <c r="J218" s="101"/>
      <c r="S218" s="101"/>
      <c r="T218" s="241"/>
      <c r="U218" s="241"/>
      <c r="V218" s="241"/>
      <c r="W218" s="241"/>
      <c r="X218" s="241"/>
      <c r="Y218" s="241"/>
      <c r="Z218" s="252"/>
    </row>
    <row r="219" spans="3:26" ht="16.5">
      <c r="C219" s="101"/>
      <c r="D219" s="101"/>
      <c r="E219" s="101"/>
      <c r="F219" s="101"/>
      <c r="G219" s="101"/>
      <c r="H219" s="101"/>
      <c r="I219" s="101"/>
      <c r="J219" s="101"/>
      <c r="S219" s="101"/>
      <c r="T219" s="241"/>
      <c r="U219" s="241"/>
      <c r="V219" s="241"/>
      <c r="W219" s="241"/>
      <c r="X219" s="241"/>
      <c r="Y219" s="241"/>
      <c r="Z219" s="252"/>
    </row>
    <row r="220" spans="3:26" ht="16.5">
      <c r="C220" s="101"/>
      <c r="D220" s="101"/>
      <c r="E220" s="101"/>
      <c r="F220" s="101"/>
      <c r="G220" s="101"/>
      <c r="H220" s="101"/>
      <c r="I220" s="101"/>
      <c r="J220" s="101"/>
      <c r="S220" s="101"/>
      <c r="T220" s="241"/>
      <c r="U220" s="241"/>
      <c r="V220" s="241"/>
      <c r="W220" s="241"/>
      <c r="X220" s="241"/>
      <c r="Y220" s="241"/>
      <c r="Z220" s="252"/>
    </row>
    <row r="221" spans="3:26" ht="16.5">
      <c r="C221" s="101"/>
      <c r="D221" s="101"/>
      <c r="E221" s="101"/>
      <c r="F221" s="101"/>
      <c r="G221" s="101"/>
      <c r="H221" s="101"/>
      <c r="I221" s="101"/>
      <c r="J221" s="101"/>
      <c r="S221" s="101"/>
      <c r="T221" s="241"/>
      <c r="U221" s="241"/>
      <c r="V221" s="241"/>
      <c r="W221" s="241"/>
      <c r="X221" s="241"/>
      <c r="Y221" s="241"/>
      <c r="Z221" s="252"/>
    </row>
    <row r="222" spans="3:26" ht="16.5">
      <c r="C222" s="101"/>
      <c r="D222" s="101"/>
      <c r="E222" s="101"/>
      <c r="F222" s="101"/>
      <c r="G222" s="101"/>
      <c r="H222" s="101"/>
      <c r="I222" s="101"/>
      <c r="J222" s="101"/>
      <c r="S222" s="101"/>
      <c r="T222" s="241"/>
      <c r="U222" s="241"/>
      <c r="V222" s="241"/>
      <c r="W222" s="241"/>
      <c r="X222" s="241"/>
      <c r="Y222" s="241"/>
      <c r="Z222" s="252"/>
    </row>
    <row r="223" spans="3:26" ht="16.5">
      <c r="C223" s="101"/>
      <c r="D223" s="101"/>
      <c r="E223" s="101"/>
      <c r="F223" s="101"/>
      <c r="G223" s="101"/>
      <c r="H223" s="101"/>
      <c r="I223" s="101"/>
      <c r="J223" s="101"/>
      <c r="S223" s="101"/>
      <c r="T223" s="241"/>
      <c r="U223" s="241"/>
      <c r="V223" s="241"/>
      <c r="W223" s="241"/>
      <c r="X223" s="241"/>
      <c r="Y223" s="241"/>
      <c r="Z223" s="252"/>
    </row>
    <row r="224" spans="3:26" ht="16.5">
      <c r="C224" s="101"/>
      <c r="D224" s="101"/>
      <c r="E224" s="101"/>
      <c r="F224" s="101"/>
      <c r="G224" s="101"/>
      <c r="H224" s="101"/>
      <c r="I224" s="101"/>
      <c r="J224" s="101"/>
      <c r="S224" s="101"/>
      <c r="T224" s="241"/>
      <c r="U224" s="241"/>
      <c r="V224" s="241"/>
      <c r="W224" s="241"/>
      <c r="X224" s="241"/>
      <c r="Y224" s="241"/>
      <c r="Z224" s="252"/>
    </row>
    <row r="225" spans="3:26" ht="16.5">
      <c r="C225" s="101"/>
      <c r="D225" s="101"/>
      <c r="E225" s="101"/>
      <c r="F225" s="101"/>
      <c r="G225" s="101"/>
      <c r="H225" s="101"/>
      <c r="I225" s="101"/>
      <c r="J225" s="101"/>
      <c r="S225" s="101"/>
      <c r="T225" s="241"/>
      <c r="U225" s="241"/>
      <c r="V225" s="241"/>
      <c r="W225" s="241"/>
      <c r="X225" s="241"/>
      <c r="Y225" s="241"/>
      <c r="Z225" s="252"/>
    </row>
    <row r="226" spans="3:26" ht="16.5">
      <c r="C226" s="101"/>
      <c r="D226" s="101"/>
      <c r="E226" s="101"/>
      <c r="F226" s="101"/>
      <c r="G226" s="101"/>
      <c r="H226" s="101"/>
      <c r="I226" s="101"/>
      <c r="J226" s="101"/>
      <c r="S226" s="101"/>
      <c r="T226" s="241"/>
      <c r="U226" s="241"/>
      <c r="V226" s="241"/>
      <c r="W226" s="241"/>
      <c r="X226" s="241"/>
      <c r="Y226" s="241"/>
      <c r="Z226" s="252"/>
    </row>
    <row r="227" spans="3:26" ht="16.5">
      <c r="C227" s="101"/>
      <c r="D227" s="101"/>
      <c r="E227" s="101"/>
      <c r="F227" s="101"/>
      <c r="G227" s="101"/>
      <c r="H227" s="101"/>
      <c r="I227" s="101"/>
      <c r="J227" s="101"/>
      <c r="S227" s="101"/>
      <c r="T227" s="241"/>
      <c r="U227" s="241"/>
      <c r="V227" s="241"/>
      <c r="W227" s="241"/>
      <c r="X227" s="241"/>
      <c r="Y227" s="241"/>
      <c r="Z227" s="252"/>
    </row>
    <row r="228" spans="3:26" ht="16.5">
      <c r="C228" s="101"/>
      <c r="D228" s="101"/>
      <c r="E228" s="101"/>
      <c r="F228" s="101"/>
      <c r="G228" s="101"/>
      <c r="H228" s="101"/>
      <c r="I228" s="101"/>
      <c r="J228" s="101"/>
      <c r="S228" s="101"/>
      <c r="T228" s="241"/>
      <c r="U228" s="241"/>
      <c r="V228" s="241"/>
      <c r="W228" s="241"/>
      <c r="X228" s="241"/>
      <c r="Y228" s="241"/>
      <c r="Z228" s="252"/>
    </row>
    <row r="229" spans="3:26" ht="16.5">
      <c r="C229" s="101"/>
      <c r="D229" s="101"/>
      <c r="E229" s="101"/>
      <c r="F229" s="101"/>
      <c r="G229" s="101"/>
      <c r="H229" s="101"/>
      <c r="I229" s="101"/>
      <c r="J229" s="101"/>
      <c r="S229" s="101"/>
      <c r="T229" s="241"/>
      <c r="U229" s="241"/>
      <c r="V229" s="241"/>
      <c r="W229" s="241"/>
      <c r="X229" s="241"/>
      <c r="Y229" s="241"/>
      <c r="Z229" s="252"/>
    </row>
    <row r="230" spans="3:26" ht="16.5">
      <c r="C230" s="101"/>
      <c r="D230" s="101"/>
      <c r="E230" s="101"/>
      <c r="F230" s="101"/>
      <c r="G230" s="101"/>
      <c r="H230" s="101"/>
      <c r="I230" s="101"/>
      <c r="J230" s="101"/>
      <c r="S230" s="101"/>
      <c r="T230" s="241"/>
      <c r="U230" s="241"/>
      <c r="V230" s="241"/>
      <c r="W230" s="241"/>
      <c r="X230" s="241"/>
      <c r="Y230" s="241"/>
      <c r="Z230" s="252"/>
    </row>
    <row r="231" spans="3:26" ht="16.5">
      <c r="C231" s="101"/>
      <c r="D231" s="101"/>
      <c r="E231" s="101"/>
      <c r="F231" s="101"/>
      <c r="G231" s="101"/>
      <c r="H231" s="101"/>
      <c r="I231" s="101"/>
      <c r="J231" s="101"/>
      <c r="S231" s="101"/>
      <c r="T231" s="241"/>
      <c r="U231" s="241"/>
      <c r="V231" s="241"/>
      <c r="W231" s="241"/>
      <c r="X231" s="241"/>
      <c r="Y231" s="241"/>
      <c r="Z231" s="252"/>
    </row>
    <row r="232" spans="3:26" ht="16.5">
      <c r="C232" s="101"/>
      <c r="D232" s="101"/>
      <c r="E232" s="101"/>
      <c r="F232" s="101"/>
      <c r="G232" s="101"/>
      <c r="H232" s="101"/>
      <c r="I232" s="101"/>
      <c r="J232" s="101"/>
      <c r="S232" s="101"/>
      <c r="T232" s="241"/>
      <c r="U232" s="241"/>
      <c r="V232" s="241"/>
      <c r="W232" s="241"/>
      <c r="X232" s="241"/>
      <c r="Y232" s="241"/>
      <c r="Z232" s="252"/>
    </row>
    <row r="233" spans="3:26" ht="16.5">
      <c r="C233" s="101"/>
      <c r="D233" s="101"/>
      <c r="E233" s="101"/>
      <c r="F233" s="101"/>
      <c r="G233" s="101"/>
      <c r="H233" s="101"/>
      <c r="I233" s="101"/>
      <c r="J233" s="101"/>
      <c r="S233" s="101"/>
      <c r="T233" s="241"/>
      <c r="U233" s="241"/>
      <c r="V233" s="241"/>
      <c r="W233" s="241"/>
      <c r="X233" s="241"/>
      <c r="Y233" s="241"/>
      <c r="Z233" s="252"/>
    </row>
    <row r="234" spans="3:26" ht="16.5">
      <c r="C234" s="101"/>
      <c r="D234" s="101"/>
      <c r="E234" s="101"/>
      <c r="F234" s="101"/>
      <c r="G234" s="101"/>
      <c r="H234" s="101"/>
      <c r="I234" s="101"/>
      <c r="J234" s="101"/>
      <c r="S234" s="101"/>
      <c r="T234" s="241"/>
      <c r="U234" s="241"/>
      <c r="V234" s="241"/>
      <c r="W234" s="241"/>
      <c r="X234" s="241"/>
      <c r="Y234" s="241"/>
      <c r="Z234" s="252"/>
    </row>
    <row r="235" spans="3:26" ht="16.5">
      <c r="C235" s="101"/>
      <c r="D235" s="101"/>
      <c r="E235" s="101"/>
      <c r="F235" s="101"/>
      <c r="G235" s="101"/>
      <c r="H235" s="101"/>
      <c r="I235" s="101"/>
      <c r="J235" s="101"/>
      <c r="S235" s="101"/>
      <c r="T235" s="241"/>
      <c r="U235" s="241"/>
      <c r="V235" s="241"/>
      <c r="W235" s="241"/>
      <c r="X235" s="241"/>
      <c r="Y235" s="241"/>
      <c r="Z235" s="252"/>
    </row>
    <row r="236" spans="3:26" ht="16.5">
      <c r="C236" s="101"/>
      <c r="D236" s="101"/>
      <c r="E236" s="101"/>
      <c r="F236" s="101"/>
      <c r="G236" s="101"/>
      <c r="H236" s="101"/>
      <c r="I236" s="101"/>
      <c r="J236" s="101"/>
      <c r="S236" s="101"/>
      <c r="T236" s="241"/>
      <c r="U236" s="241"/>
      <c r="V236" s="241"/>
      <c r="W236" s="241"/>
      <c r="X236" s="241"/>
      <c r="Y236" s="241"/>
      <c r="Z236" s="252"/>
    </row>
    <row r="237" spans="3:26" ht="16.5">
      <c r="C237" s="101"/>
      <c r="D237" s="101"/>
      <c r="E237" s="101"/>
      <c r="F237" s="101"/>
      <c r="G237" s="101"/>
      <c r="H237" s="101"/>
      <c r="I237" s="101"/>
      <c r="J237" s="101"/>
      <c r="S237" s="101"/>
      <c r="T237" s="241"/>
      <c r="U237" s="241"/>
      <c r="V237" s="241"/>
      <c r="W237" s="241"/>
      <c r="X237" s="241"/>
      <c r="Y237" s="241"/>
      <c r="Z237" s="252"/>
    </row>
    <row r="238" spans="3:26" ht="16.5">
      <c r="C238" s="101"/>
      <c r="D238" s="101"/>
      <c r="E238" s="101"/>
      <c r="F238" s="101"/>
      <c r="G238" s="101"/>
      <c r="H238" s="101"/>
      <c r="I238" s="101"/>
      <c r="J238" s="101"/>
      <c r="S238" s="101"/>
      <c r="T238" s="241"/>
      <c r="U238" s="241"/>
      <c r="V238" s="241"/>
      <c r="W238" s="241"/>
      <c r="X238" s="241"/>
      <c r="Y238" s="241"/>
      <c r="Z238" s="252"/>
    </row>
    <row r="239" spans="3:26" ht="16.5">
      <c r="C239" s="101"/>
      <c r="D239" s="101"/>
      <c r="E239" s="101"/>
      <c r="F239" s="101"/>
      <c r="G239" s="101"/>
      <c r="H239" s="101"/>
      <c r="I239" s="101"/>
      <c r="J239" s="101"/>
      <c r="S239" s="101"/>
      <c r="T239" s="241"/>
      <c r="U239" s="241"/>
      <c r="V239" s="241"/>
      <c r="W239" s="241"/>
      <c r="X239" s="241"/>
      <c r="Y239" s="241"/>
      <c r="Z239" s="252"/>
    </row>
    <row r="240" spans="3:26" ht="16.5">
      <c r="C240" s="101"/>
      <c r="D240" s="101"/>
      <c r="E240" s="101"/>
      <c r="F240" s="101"/>
      <c r="G240" s="101"/>
      <c r="H240" s="101"/>
      <c r="I240" s="101"/>
      <c r="J240" s="101"/>
      <c r="S240" s="101"/>
      <c r="T240" s="241"/>
      <c r="U240" s="241"/>
      <c r="V240" s="241"/>
      <c r="W240" s="241"/>
      <c r="X240" s="241"/>
      <c r="Y240" s="241"/>
      <c r="Z240" s="252"/>
    </row>
    <row r="241" spans="3:26" ht="16.5">
      <c r="C241" s="101"/>
      <c r="D241" s="101"/>
      <c r="E241" s="101"/>
      <c r="F241" s="101"/>
      <c r="G241" s="101"/>
      <c r="H241" s="101"/>
      <c r="I241" s="101"/>
      <c r="J241" s="101"/>
      <c r="S241" s="101"/>
      <c r="T241" s="241"/>
      <c r="U241" s="241"/>
      <c r="V241" s="241"/>
      <c r="W241" s="241"/>
      <c r="X241" s="241"/>
      <c r="Y241" s="241"/>
      <c r="Z241" s="252"/>
    </row>
    <row r="242" spans="3:26" ht="16.5">
      <c r="C242" s="101"/>
      <c r="D242" s="101"/>
      <c r="E242" s="101"/>
      <c r="F242" s="101"/>
      <c r="G242" s="101"/>
      <c r="H242" s="101"/>
      <c r="I242" s="101"/>
      <c r="J242" s="101"/>
      <c r="S242" s="101"/>
      <c r="T242" s="241"/>
      <c r="U242" s="241"/>
      <c r="V242" s="241"/>
      <c r="W242" s="241"/>
      <c r="X242" s="241"/>
      <c r="Y242" s="241"/>
      <c r="Z242" s="252"/>
    </row>
    <row r="243" spans="3:26" ht="16.5">
      <c r="C243" s="101"/>
      <c r="D243" s="101"/>
      <c r="E243" s="101"/>
      <c r="F243" s="101"/>
      <c r="G243" s="101"/>
      <c r="H243" s="101"/>
      <c r="I243" s="101"/>
      <c r="J243" s="101"/>
      <c r="S243" s="101"/>
      <c r="T243" s="241"/>
      <c r="U243" s="241"/>
      <c r="V243" s="241"/>
      <c r="W243" s="241"/>
      <c r="X243" s="241"/>
      <c r="Y243" s="241"/>
      <c r="Z243" s="252"/>
    </row>
    <row r="244" spans="3:26" ht="16.5">
      <c r="C244" s="101"/>
      <c r="D244" s="101"/>
      <c r="E244" s="101"/>
      <c r="F244" s="101"/>
      <c r="G244" s="101"/>
      <c r="H244" s="101"/>
      <c r="I244" s="101"/>
      <c r="J244" s="101"/>
      <c r="S244" s="101"/>
      <c r="T244" s="241"/>
      <c r="U244" s="241"/>
      <c r="V244" s="241"/>
      <c r="W244" s="241"/>
      <c r="X244" s="241"/>
      <c r="Y244" s="241"/>
      <c r="Z244" s="252"/>
    </row>
    <row r="245" spans="3:26" ht="16.5">
      <c r="C245" s="101"/>
      <c r="D245" s="101"/>
      <c r="E245" s="101"/>
      <c r="F245" s="101"/>
      <c r="G245" s="101"/>
      <c r="H245" s="101"/>
      <c r="I245" s="101"/>
      <c r="J245" s="101"/>
      <c r="S245" s="101"/>
      <c r="T245" s="241"/>
      <c r="U245" s="241"/>
      <c r="V245" s="241"/>
      <c r="W245" s="241"/>
      <c r="X245" s="241"/>
      <c r="Y245" s="241"/>
      <c r="Z245" s="252"/>
    </row>
    <row r="246" spans="3:26" ht="16.5">
      <c r="C246" s="101"/>
      <c r="D246" s="101"/>
      <c r="E246" s="101"/>
      <c r="F246" s="101"/>
      <c r="G246" s="101"/>
      <c r="H246" s="101"/>
      <c r="I246" s="101"/>
      <c r="J246" s="101"/>
      <c r="S246" s="101"/>
      <c r="T246" s="241"/>
      <c r="U246" s="241"/>
      <c r="V246" s="241"/>
      <c r="W246" s="241"/>
      <c r="X246" s="241"/>
      <c r="Y246" s="241"/>
      <c r="Z246" s="252"/>
    </row>
    <row r="247" spans="3:26" ht="16.5">
      <c r="C247" s="101"/>
      <c r="D247" s="101"/>
      <c r="E247" s="101"/>
      <c r="F247" s="101"/>
      <c r="G247" s="101"/>
      <c r="H247" s="101"/>
      <c r="I247" s="101"/>
      <c r="J247" s="101"/>
      <c r="S247" s="101"/>
      <c r="T247" s="241"/>
      <c r="U247" s="241"/>
      <c r="V247" s="241"/>
      <c r="W247" s="241"/>
      <c r="X247" s="241"/>
      <c r="Y247" s="241"/>
      <c r="Z247" s="252"/>
    </row>
    <row r="248" spans="3:26" ht="16.5">
      <c r="C248" s="101"/>
      <c r="D248" s="101"/>
      <c r="E248" s="101"/>
      <c r="F248" s="101"/>
      <c r="G248" s="101"/>
      <c r="H248" s="101"/>
      <c r="I248" s="101"/>
      <c r="J248" s="101"/>
      <c r="S248" s="101"/>
      <c r="T248" s="241"/>
      <c r="U248" s="241"/>
      <c r="V248" s="241"/>
      <c r="W248" s="241"/>
      <c r="X248" s="241"/>
      <c r="Y248" s="241"/>
      <c r="Z248" s="252"/>
    </row>
    <row r="249" spans="3:26" ht="16.5">
      <c r="C249" s="101"/>
      <c r="D249" s="101"/>
      <c r="E249" s="101"/>
      <c r="F249" s="101"/>
      <c r="G249" s="101"/>
      <c r="H249" s="101"/>
      <c r="I249" s="101"/>
      <c r="J249" s="101"/>
      <c r="S249" s="101"/>
      <c r="T249" s="241"/>
      <c r="U249" s="241"/>
      <c r="V249" s="241"/>
      <c r="W249" s="241"/>
      <c r="X249" s="241"/>
      <c r="Y249" s="241"/>
      <c r="Z249" s="252"/>
    </row>
    <row r="250" spans="3:26" ht="16.5">
      <c r="C250" s="101"/>
      <c r="D250" s="101"/>
      <c r="E250" s="101"/>
      <c r="F250" s="101"/>
      <c r="G250" s="101"/>
      <c r="H250" s="101"/>
      <c r="I250" s="101"/>
      <c r="J250" s="101"/>
      <c r="S250" s="101"/>
      <c r="T250" s="241"/>
      <c r="U250" s="241"/>
      <c r="V250" s="241"/>
      <c r="W250" s="241"/>
      <c r="X250" s="241"/>
      <c r="Y250" s="241"/>
      <c r="Z250" s="252"/>
    </row>
    <row r="251" spans="3:26" ht="16.5">
      <c r="C251" s="101"/>
      <c r="D251" s="101"/>
      <c r="E251" s="101"/>
      <c r="F251" s="101"/>
      <c r="G251" s="101"/>
      <c r="H251" s="101"/>
      <c r="I251" s="101"/>
      <c r="J251" s="101"/>
      <c r="S251" s="101"/>
      <c r="T251" s="241"/>
      <c r="U251" s="241"/>
      <c r="V251" s="241"/>
      <c r="W251" s="241"/>
      <c r="X251" s="241"/>
      <c r="Y251" s="241"/>
      <c r="Z251" s="252"/>
    </row>
    <row r="252" spans="3:26" ht="16.5">
      <c r="C252" s="101"/>
      <c r="D252" s="101"/>
      <c r="E252" s="101"/>
      <c r="F252" s="101"/>
      <c r="G252" s="101"/>
      <c r="H252" s="101"/>
      <c r="I252" s="101"/>
      <c r="J252" s="101"/>
      <c r="S252" s="101"/>
      <c r="T252" s="241"/>
      <c r="U252" s="241"/>
      <c r="V252" s="241"/>
      <c r="W252" s="241"/>
      <c r="X252" s="241"/>
      <c r="Y252" s="241"/>
      <c r="Z252" s="252"/>
    </row>
    <row r="253" spans="3:26" ht="16.5">
      <c r="C253" s="101"/>
      <c r="D253" s="101"/>
      <c r="E253" s="101"/>
      <c r="F253" s="101"/>
      <c r="G253" s="101"/>
      <c r="H253" s="101"/>
      <c r="I253" s="101"/>
      <c r="J253" s="101"/>
      <c r="S253" s="101"/>
      <c r="T253" s="241"/>
      <c r="U253" s="241"/>
      <c r="V253" s="241"/>
      <c r="W253" s="241"/>
      <c r="X253" s="241"/>
      <c r="Y253" s="241"/>
      <c r="Z253" s="252"/>
    </row>
    <row r="254" spans="3:26" ht="16.5">
      <c r="C254" s="101"/>
      <c r="D254" s="101"/>
      <c r="E254" s="101"/>
      <c r="F254" s="101"/>
      <c r="G254" s="101"/>
      <c r="H254" s="101"/>
      <c r="I254" s="101"/>
      <c r="J254" s="101"/>
      <c r="S254" s="101"/>
      <c r="T254" s="241"/>
      <c r="U254" s="241"/>
      <c r="V254" s="241"/>
      <c r="W254" s="241"/>
      <c r="X254" s="241"/>
      <c r="Y254" s="241"/>
      <c r="Z254" s="252"/>
    </row>
    <row r="255" spans="3:26" ht="16.5">
      <c r="C255" s="101"/>
      <c r="D255" s="101"/>
      <c r="E255" s="101"/>
      <c r="F255" s="101"/>
      <c r="G255" s="101"/>
      <c r="H255" s="101"/>
      <c r="I255" s="101"/>
      <c r="J255" s="101"/>
      <c r="S255" s="101"/>
      <c r="T255" s="241"/>
      <c r="U255" s="241"/>
      <c r="V255" s="241"/>
      <c r="W255" s="241"/>
      <c r="X255" s="241"/>
      <c r="Y255" s="241"/>
      <c r="Z255" s="252"/>
    </row>
    <row r="256" spans="3:26" ht="16.5">
      <c r="C256" s="101"/>
      <c r="D256" s="101"/>
      <c r="E256" s="101"/>
      <c r="F256" s="101"/>
      <c r="G256" s="101"/>
      <c r="H256" s="101"/>
      <c r="I256" s="101"/>
      <c r="J256" s="101"/>
      <c r="S256" s="101"/>
      <c r="T256" s="241"/>
      <c r="U256" s="241"/>
      <c r="V256" s="241"/>
      <c r="W256" s="241"/>
      <c r="X256" s="241"/>
      <c r="Y256" s="241"/>
      <c r="Z256" s="252"/>
    </row>
    <row r="257" spans="3:26" ht="16.5">
      <c r="C257" s="101"/>
      <c r="D257" s="101"/>
      <c r="E257" s="101"/>
      <c r="F257" s="101"/>
      <c r="G257" s="101"/>
      <c r="H257" s="101"/>
      <c r="I257" s="101"/>
      <c r="J257" s="101"/>
      <c r="S257" s="101"/>
      <c r="T257" s="241"/>
      <c r="U257" s="241"/>
      <c r="V257" s="241"/>
      <c r="W257" s="241"/>
      <c r="X257" s="241"/>
      <c r="Y257" s="241"/>
      <c r="Z257" s="252"/>
    </row>
    <row r="258" spans="3:26" ht="16.5">
      <c r="C258" s="101"/>
      <c r="D258" s="101"/>
      <c r="E258" s="101"/>
      <c r="F258" s="101"/>
      <c r="G258" s="101"/>
      <c r="H258" s="101"/>
      <c r="I258" s="101"/>
      <c r="J258" s="101"/>
      <c r="S258" s="101"/>
      <c r="T258" s="241"/>
      <c r="U258" s="241"/>
      <c r="V258" s="241"/>
      <c r="W258" s="241"/>
      <c r="X258" s="241"/>
      <c r="Y258" s="241"/>
      <c r="Z258" s="252"/>
    </row>
    <row r="259" spans="3:26" ht="16.5">
      <c r="C259" s="101"/>
      <c r="D259" s="101"/>
      <c r="E259" s="101"/>
      <c r="F259" s="101"/>
      <c r="G259" s="101"/>
      <c r="H259" s="101"/>
      <c r="I259" s="101"/>
      <c r="J259" s="101"/>
      <c r="S259" s="101"/>
      <c r="T259" s="241"/>
      <c r="U259" s="241"/>
      <c r="V259" s="241"/>
      <c r="W259" s="241"/>
      <c r="X259" s="241"/>
      <c r="Y259" s="241"/>
      <c r="Z259" s="252"/>
    </row>
    <row r="260" spans="3:26" ht="16.5">
      <c r="C260" s="101"/>
      <c r="D260" s="101"/>
      <c r="E260" s="101"/>
      <c r="F260" s="101"/>
      <c r="G260" s="101"/>
      <c r="H260" s="101"/>
      <c r="I260" s="101"/>
      <c r="J260" s="101"/>
      <c r="S260" s="101"/>
      <c r="T260" s="241"/>
      <c r="U260" s="241"/>
      <c r="V260" s="241"/>
      <c r="W260" s="241"/>
      <c r="X260" s="241"/>
      <c r="Y260" s="241"/>
      <c r="Z260" s="252"/>
    </row>
    <row r="261" spans="3:26" ht="16.5">
      <c r="C261" s="101"/>
      <c r="D261" s="101"/>
      <c r="E261" s="101"/>
      <c r="F261" s="101"/>
      <c r="G261" s="101"/>
      <c r="H261" s="101"/>
      <c r="I261" s="101"/>
      <c r="J261" s="101"/>
      <c r="S261" s="101"/>
      <c r="T261" s="241"/>
      <c r="U261" s="241"/>
      <c r="V261" s="241"/>
      <c r="W261" s="241"/>
      <c r="X261" s="241"/>
      <c r="Y261" s="241"/>
      <c r="Z261" s="252"/>
    </row>
    <row r="262" spans="3:26" ht="16.5">
      <c r="C262" s="101"/>
      <c r="D262" s="101"/>
      <c r="E262" s="101"/>
      <c r="F262" s="101"/>
      <c r="G262" s="101"/>
      <c r="H262" s="101"/>
      <c r="I262" s="101"/>
      <c r="J262" s="101"/>
      <c r="S262" s="101"/>
      <c r="T262" s="241"/>
      <c r="U262" s="241"/>
      <c r="V262" s="241"/>
      <c r="W262" s="241"/>
      <c r="X262" s="241"/>
      <c r="Y262" s="241"/>
      <c r="Z262" s="252"/>
    </row>
    <row r="263" spans="3:26" ht="16.5">
      <c r="C263" s="101"/>
      <c r="D263" s="101"/>
      <c r="E263" s="101"/>
      <c r="F263" s="101"/>
      <c r="G263" s="101"/>
      <c r="H263" s="101"/>
      <c r="I263" s="101"/>
      <c r="J263" s="101"/>
      <c r="S263" s="101"/>
      <c r="T263" s="241"/>
      <c r="U263" s="241"/>
      <c r="V263" s="241"/>
      <c r="W263" s="241"/>
      <c r="X263" s="241"/>
      <c r="Y263" s="241"/>
      <c r="Z263" s="252"/>
    </row>
    <row r="264" spans="3:26" ht="16.5">
      <c r="C264" s="101"/>
      <c r="D264" s="101"/>
      <c r="E264" s="101"/>
      <c r="F264" s="101"/>
      <c r="G264" s="101"/>
      <c r="H264" s="101"/>
      <c r="I264" s="101"/>
      <c r="J264" s="101"/>
      <c r="S264" s="101"/>
      <c r="T264" s="241"/>
      <c r="U264" s="241"/>
      <c r="V264" s="241"/>
      <c r="W264" s="241"/>
      <c r="X264" s="241"/>
      <c r="Y264" s="241"/>
      <c r="Z264" s="252"/>
    </row>
    <row r="265" spans="3:26" ht="16.5">
      <c r="C265" s="101"/>
      <c r="D265" s="101"/>
      <c r="E265" s="101"/>
      <c r="F265" s="101"/>
      <c r="G265" s="101"/>
      <c r="H265" s="101"/>
      <c r="I265" s="101"/>
      <c r="J265" s="101"/>
      <c r="S265" s="101"/>
      <c r="T265" s="241"/>
      <c r="U265" s="241"/>
      <c r="V265" s="241"/>
      <c r="W265" s="241"/>
      <c r="X265" s="241"/>
      <c r="Y265" s="241"/>
      <c r="Z265" s="252"/>
    </row>
    <row r="266" spans="3:26" ht="16.5">
      <c r="C266" s="101"/>
      <c r="D266" s="101"/>
      <c r="E266" s="101"/>
      <c r="F266" s="101"/>
      <c r="G266" s="101"/>
      <c r="H266" s="101"/>
      <c r="I266" s="101"/>
      <c r="J266" s="101"/>
      <c r="S266" s="101"/>
      <c r="T266" s="241"/>
      <c r="U266" s="241"/>
      <c r="V266" s="241"/>
      <c r="W266" s="241"/>
      <c r="X266" s="241"/>
      <c r="Y266" s="241"/>
      <c r="Z266" s="252"/>
    </row>
    <row r="267" spans="3:26" ht="16.5">
      <c r="C267" s="101"/>
      <c r="D267" s="101"/>
      <c r="E267" s="101"/>
      <c r="F267" s="101"/>
      <c r="G267" s="101"/>
      <c r="H267" s="101"/>
      <c r="I267" s="101"/>
      <c r="J267" s="101"/>
      <c r="S267" s="101"/>
      <c r="T267" s="241"/>
      <c r="U267" s="241"/>
      <c r="V267" s="241"/>
      <c r="W267" s="241"/>
      <c r="X267" s="241"/>
      <c r="Y267" s="241"/>
      <c r="Z267" s="252"/>
    </row>
    <row r="268" spans="3:26" ht="16.5">
      <c r="C268" s="101"/>
      <c r="D268" s="101"/>
      <c r="E268" s="101"/>
      <c r="F268" s="101"/>
      <c r="G268" s="101"/>
      <c r="H268" s="101"/>
      <c r="I268" s="101"/>
      <c r="J268" s="101"/>
      <c r="S268" s="101"/>
      <c r="T268" s="241"/>
      <c r="U268" s="241"/>
      <c r="V268" s="241"/>
      <c r="W268" s="241"/>
      <c r="X268" s="241"/>
      <c r="Y268" s="241"/>
      <c r="Z268" s="252"/>
    </row>
    <row r="269" spans="3:26" ht="16.5">
      <c r="C269" s="101"/>
      <c r="D269" s="101"/>
      <c r="E269" s="101"/>
      <c r="F269" s="101"/>
      <c r="G269" s="101"/>
      <c r="H269" s="101"/>
      <c r="I269" s="101"/>
      <c r="J269" s="101"/>
      <c r="S269" s="101"/>
      <c r="T269" s="241"/>
      <c r="U269" s="241"/>
      <c r="V269" s="241"/>
      <c r="W269" s="241"/>
      <c r="X269" s="241"/>
      <c r="Y269" s="241"/>
      <c r="Z269" s="252"/>
    </row>
    <row r="270" spans="3:26" ht="16.5">
      <c r="C270" s="101"/>
      <c r="D270" s="101"/>
      <c r="E270" s="101"/>
      <c r="F270" s="101"/>
      <c r="G270" s="101"/>
      <c r="H270" s="101"/>
      <c r="I270" s="101"/>
      <c r="J270" s="101"/>
      <c r="S270" s="101"/>
      <c r="T270" s="241"/>
      <c r="U270" s="241"/>
      <c r="V270" s="241"/>
      <c r="W270" s="241"/>
      <c r="X270" s="241"/>
      <c r="Y270" s="241"/>
      <c r="Z270" s="252"/>
    </row>
    <row r="271" spans="3:26" ht="16.5">
      <c r="C271" s="101"/>
      <c r="D271" s="101"/>
      <c r="E271" s="101"/>
      <c r="F271" s="101"/>
      <c r="G271" s="101"/>
      <c r="H271" s="101"/>
      <c r="I271" s="101"/>
      <c r="J271" s="101"/>
      <c r="S271" s="101"/>
      <c r="T271" s="241"/>
      <c r="U271" s="241"/>
      <c r="V271" s="241"/>
      <c r="W271" s="241"/>
      <c r="X271" s="241"/>
      <c r="Y271" s="241"/>
      <c r="Z271" s="252"/>
    </row>
    <row r="272" spans="3:26" ht="16.5">
      <c r="C272" s="101"/>
      <c r="D272" s="101"/>
      <c r="E272" s="101"/>
      <c r="F272" s="101"/>
      <c r="G272" s="101"/>
      <c r="H272" s="101"/>
      <c r="I272" s="101"/>
      <c r="J272" s="101"/>
      <c r="S272" s="101"/>
      <c r="T272" s="241"/>
      <c r="U272" s="241"/>
      <c r="V272" s="241"/>
      <c r="W272" s="241"/>
      <c r="X272" s="241"/>
      <c r="Y272" s="241"/>
      <c r="Z272" s="252"/>
    </row>
    <row r="273" spans="3:26" ht="16.5">
      <c r="C273" s="101"/>
      <c r="D273" s="101"/>
      <c r="E273" s="101"/>
      <c r="F273" s="101"/>
      <c r="G273" s="101"/>
      <c r="H273" s="101"/>
      <c r="I273" s="101"/>
      <c r="J273" s="101"/>
      <c r="S273" s="101"/>
      <c r="T273" s="241"/>
      <c r="U273" s="241"/>
      <c r="V273" s="241"/>
      <c r="W273" s="241"/>
      <c r="X273" s="241"/>
      <c r="Y273" s="241"/>
      <c r="Z273" s="252"/>
    </row>
    <row r="274" spans="3:26" ht="16.5">
      <c r="C274" s="101"/>
      <c r="D274" s="101"/>
      <c r="E274" s="101"/>
      <c r="F274" s="101"/>
      <c r="G274" s="101"/>
      <c r="H274" s="101"/>
      <c r="I274" s="101"/>
      <c r="J274" s="101"/>
      <c r="S274" s="101"/>
      <c r="T274" s="241"/>
      <c r="U274" s="241"/>
      <c r="V274" s="241"/>
      <c r="W274" s="241"/>
      <c r="X274" s="241"/>
      <c r="Y274" s="241"/>
      <c r="Z274" s="252"/>
    </row>
    <row r="275" spans="3:26" ht="16.5">
      <c r="C275" s="101"/>
      <c r="D275" s="101"/>
      <c r="E275" s="101"/>
      <c r="F275" s="101"/>
      <c r="G275" s="101"/>
      <c r="H275" s="101"/>
      <c r="I275" s="101"/>
      <c r="J275" s="101"/>
      <c r="S275" s="101"/>
      <c r="T275" s="241"/>
      <c r="U275" s="241"/>
      <c r="V275" s="241"/>
      <c r="W275" s="241"/>
      <c r="X275" s="241"/>
      <c r="Y275" s="241"/>
      <c r="Z275" s="252"/>
    </row>
    <row r="276" spans="3:26" ht="16.5">
      <c r="C276" s="101"/>
      <c r="D276" s="101"/>
      <c r="E276" s="101"/>
      <c r="F276" s="101"/>
      <c r="G276" s="101"/>
      <c r="H276" s="101"/>
      <c r="I276" s="101"/>
      <c r="J276" s="101"/>
      <c r="S276" s="101"/>
      <c r="T276" s="241"/>
      <c r="U276" s="241"/>
      <c r="V276" s="241"/>
      <c r="W276" s="241"/>
      <c r="X276" s="241"/>
      <c r="Y276" s="241"/>
      <c r="Z276" s="252"/>
    </row>
    <row r="277" spans="3:26" ht="16.5">
      <c r="C277" s="101"/>
      <c r="D277" s="101"/>
      <c r="E277" s="101"/>
      <c r="F277" s="101"/>
      <c r="G277" s="101"/>
      <c r="H277" s="101"/>
      <c r="I277" s="101"/>
      <c r="J277" s="101"/>
      <c r="S277" s="101"/>
      <c r="T277" s="241"/>
      <c r="U277" s="241"/>
      <c r="V277" s="241"/>
      <c r="W277" s="241"/>
      <c r="X277" s="241"/>
      <c r="Y277" s="241"/>
      <c r="Z277" s="252"/>
    </row>
    <row r="278" spans="3:26" ht="16.5">
      <c r="C278" s="101"/>
      <c r="D278" s="101"/>
      <c r="E278" s="101"/>
      <c r="F278" s="101"/>
      <c r="G278" s="101"/>
      <c r="H278" s="101"/>
      <c r="I278" s="101"/>
      <c r="J278" s="101"/>
      <c r="S278" s="101"/>
      <c r="T278" s="241"/>
      <c r="U278" s="241"/>
      <c r="V278" s="241"/>
      <c r="W278" s="241"/>
      <c r="X278" s="241"/>
      <c r="Y278" s="241"/>
      <c r="Z278" s="252"/>
    </row>
    <row r="279" spans="3:26" ht="16.5">
      <c r="C279" s="101"/>
      <c r="D279" s="101"/>
      <c r="E279" s="101"/>
      <c r="F279" s="101"/>
      <c r="G279" s="101"/>
      <c r="H279" s="101"/>
      <c r="I279" s="101"/>
      <c r="J279" s="101"/>
      <c r="S279" s="101"/>
      <c r="T279" s="241"/>
      <c r="U279" s="241"/>
      <c r="V279" s="241"/>
      <c r="W279" s="241"/>
      <c r="X279" s="241"/>
      <c r="Y279" s="241"/>
      <c r="Z279" s="252"/>
    </row>
    <row r="280" spans="3:26" ht="16.5">
      <c r="C280" s="101"/>
      <c r="D280" s="101"/>
      <c r="E280" s="101"/>
      <c r="F280" s="101"/>
      <c r="G280" s="101"/>
      <c r="H280" s="101"/>
      <c r="I280" s="101"/>
      <c r="J280" s="101"/>
      <c r="S280" s="101"/>
      <c r="T280" s="241"/>
      <c r="U280" s="241"/>
      <c r="V280" s="241"/>
      <c r="W280" s="241"/>
      <c r="X280" s="241"/>
      <c r="Y280" s="241"/>
      <c r="Z280" s="252"/>
    </row>
    <row r="281" spans="3:26" ht="16.5">
      <c r="C281" s="101"/>
      <c r="D281" s="101"/>
      <c r="E281" s="101"/>
      <c r="F281" s="101"/>
      <c r="G281" s="101"/>
      <c r="H281" s="101"/>
      <c r="I281" s="101"/>
      <c r="J281" s="101"/>
      <c r="S281" s="101"/>
      <c r="T281" s="241"/>
      <c r="U281" s="241"/>
      <c r="V281" s="241"/>
      <c r="W281" s="241"/>
      <c r="X281" s="241"/>
      <c r="Y281" s="241"/>
      <c r="Z281" s="252"/>
    </row>
    <row r="282" spans="3:26" ht="16.5">
      <c r="C282" s="101"/>
      <c r="D282" s="101"/>
      <c r="E282" s="101"/>
      <c r="F282" s="101"/>
      <c r="G282" s="101"/>
      <c r="H282" s="101"/>
      <c r="I282" s="101"/>
      <c r="J282" s="101"/>
      <c r="S282" s="101"/>
      <c r="T282" s="241"/>
      <c r="U282" s="241"/>
      <c r="V282" s="241"/>
      <c r="W282" s="241"/>
      <c r="X282" s="241"/>
      <c r="Y282" s="241"/>
      <c r="Z282" s="252"/>
    </row>
    <row r="283" spans="3:26" ht="16.5">
      <c r="C283" s="101"/>
      <c r="D283" s="101"/>
      <c r="E283" s="101"/>
      <c r="F283" s="101"/>
      <c r="G283" s="101"/>
      <c r="H283" s="101"/>
      <c r="I283" s="101"/>
      <c r="J283" s="101"/>
      <c r="S283" s="101"/>
      <c r="T283" s="241"/>
      <c r="U283" s="241"/>
      <c r="V283" s="241"/>
      <c r="W283" s="241"/>
      <c r="X283" s="241"/>
      <c r="Y283" s="241"/>
      <c r="Z283" s="252"/>
    </row>
    <row r="284" spans="3:26" ht="16.5">
      <c r="C284" s="101"/>
      <c r="D284" s="101"/>
      <c r="E284" s="101"/>
      <c r="F284" s="101"/>
      <c r="G284" s="101"/>
      <c r="H284" s="101"/>
      <c r="I284" s="101"/>
      <c r="J284" s="101"/>
      <c r="S284" s="101"/>
      <c r="T284" s="241"/>
      <c r="U284" s="241"/>
      <c r="V284" s="241"/>
      <c r="W284" s="241"/>
      <c r="X284" s="241"/>
      <c r="Y284" s="241"/>
      <c r="Z284" s="252"/>
    </row>
    <row r="285" spans="3:26" ht="16.5">
      <c r="C285" s="101"/>
      <c r="D285" s="101"/>
      <c r="E285" s="101"/>
      <c r="F285" s="101"/>
      <c r="G285" s="101"/>
      <c r="H285" s="101"/>
      <c r="I285" s="101"/>
      <c r="J285" s="101"/>
      <c r="S285" s="101"/>
      <c r="T285" s="241"/>
      <c r="U285" s="241"/>
      <c r="V285" s="241"/>
      <c r="W285" s="241"/>
      <c r="X285" s="241"/>
      <c r="Y285" s="241"/>
      <c r="Z285" s="252"/>
    </row>
    <row r="286" spans="3:26" ht="16.5">
      <c r="C286" s="101"/>
      <c r="D286" s="101"/>
      <c r="E286" s="101"/>
      <c r="F286" s="101"/>
      <c r="G286" s="101"/>
      <c r="H286" s="101"/>
      <c r="I286" s="101"/>
      <c r="J286" s="101"/>
      <c r="S286" s="101"/>
      <c r="T286" s="241"/>
      <c r="U286" s="241"/>
      <c r="V286" s="241"/>
      <c r="W286" s="241"/>
      <c r="X286" s="241"/>
      <c r="Y286" s="241"/>
      <c r="Z286" s="252"/>
    </row>
    <row r="287" spans="3:26" ht="16.5">
      <c r="C287" s="101"/>
      <c r="D287" s="101"/>
      <c r="E287" s="101"/>
      <c r="F287" s="101"/>
      <c r="G287" s="101"/>
      <c r="H287" s="101"/>
      <c r="I287" s="101"/>
      <c r="J287" s="101"/>
      <c r="S287" s="101"/>
      <c r="T287" s="241"/>
      <c r="U287" s="241"/>
      <c r="V287" s="241"/>
      <c r="W287" s="241"/>
      <c r="X287" s="241"/>
      <c r="Y287" s="241"/>
      <c r="Z287" s="252"/>
    </row>
    <row r="288" spans="3:26" ht="16.5">
      <c r="C288" s="101"/>
      <c r="D288" s="101"/>
      <c r="E288" s="101"/>
      <c r="F288" s="101"/>
      <c r="G288" s="101"/>
      <c r="H288" s="101"/>
      <c r="I288" s="101"/>
      <c r="J288" s="101"/>
      <c r="S288" s="101"/>
      <c r="T288" s="241"/>
      <c r="U288" s="241"/>
      <c r="V288" s="241"/>
      <c r="W288" s="241"/>
      <c r="X288" s="241"/>
      <c r="Y288" s="241"/>
      <c r="Z288" s="252"/>
    </row>
    <row r="289" spans="3:26" ht="16.5">
      <c r="C289" s="101"/>
      <c r="D289" s="101"/>
      <c r="E289" s="101"/>
      <c r="F289" s="101"/>
      <c r="G289" s="101"/>
      <c r="H289" s="101"/>
      <c r="I289" s="101"/>
      <c r="J289" s="101"/>
      <c r="S289" s="101"/>
      <c r="T289" s="241"/>
      <c r="U289" s="241"/>
      <c r="V289" s="241"/>
      <c r="W289" s="241"/>
      <c r="X289" s="241"/>
      <c r="Y289" s="241"/>
      <c r="Z289" s="252"/>
    </row>
    <row r="290" spans="3:26" ht="16.5">
      <c r="C290" s="101"/>
      <c r="D290" s="101"/>
      <c r="E290" s="101"/>
      <c r="F290" s="101"/>
      <c r="G290" s="101"/>
      <c r="H290" s="101"/>
      <c r="I290" s="101"/>
      <c r="J290" s="101"/>
      <c r="S290" s="101"/>
      <c r="T290" s="241"/>
      <c r="U290" s="241"/>
      <c r="V290" s="241"/>
      <c r="W290" s="241"/>
      <c r="X290" s="241"/>
      <c r="Y290" s="241"/>
      <c r="Z290" s="252"/>
    </row>
    <row r="291" spans="3:26" ht="16.5">
      <c r="C291" s="101"/>
      <c r="D291" s="101"/>
      <c r="E291" s="101"/>
      <c r="F291" s="101"/>
      <c r="G291" s="101"/>
      <c r="H291" s="101"/>
      <c r="I291" s="101"/>
      <c r="J291" s="101"/>
      <c r="S291" s="101"/>
      <c r="T291" s="241"/>
      <c r="U291" s="241"/>
      <c r="V291" s="241"/>
      <c r="W291" s="241"/>
      <c r="X291" s="241"/>
      <c r="Y291" s="241"/>
      <c r="Z291" s="252"/>
    </row>
    <row r="292" spans="3:26" ht="16.5">
      <c r="C292" s="101"/>
      <c r="D292" s="101"/>
      <c r="E292" s="101"/>
      <c r="F292" s="101"/>
      <c r="G292" s="101"/>
      <c r="H292" s="101"/>
      <c r="I292" s="101"/>
      <c r="J292" s="101"/>
      <c r="S292" s="101"/>
      <c r="T292" s="241"/>
      <c r="U292" s="241"/>
      <c r="V292" s="241"/>
      <c r="W292" s="241"/>
      <c r="X292" s="241"/>
      <c r="Y292" s="241"/>
      <c r="Z292" s="252"/>
    </row>
    <row r="293" spans="3:26" ht="16.5">
      <c r="C293" s="101"/>
      <c r="D293" s="101"/>
      <c r="E293" s="101"/>
      <c r="F293" s="101"/>
      <c r="G293" s="101"/>
      <c r="H293" s="101"/>
      <c r="I293" s="101"/>
      <c r="J293" s="101"/>
      <c r="S293" s="101"/>
      <c r="T293" s="241"/>
      <c r="U293" s="241"/>
      <c r="V293" s="241"/>
      <c r="W293" s="241"/>
      <c r="X293" s="241"/>
      <c r="Y293" s="241"/>
      <c r="Z293" s="252"/>
    </row>
    <row r="294" spans="3:26" ht="16.5">
      <c r="C294" s="101"/>
      <c r="D294" s="101"/>
      <c r="E294" s="101"/>
      <c r="F294" s="101"/>
      <c r="G294" s="101"/>
      <c r="H294" s="101"/>
      <c r="I294" s="101"/>
      <c r="J294" s="101"/>
      <c r="S294" s="101"/>
      <c r="T294" s="241"/>
      <c r="U294" s="241"/>
      <c r="V294" s="241"/>
      <c r="W294" s="241"/>
      <c r="X294" s="241"/>
      <c r="Y294" s="241"/>
      <c r="Z294" s="252"/>
    </row>
    <row r="295" spans="3:26" ht="16.5">
      <c r="C295" s="101"/>
      <c r="D295" s="101"/>
      <c r="E295" s="101"/>
      <c r="F295" s="101"/>
      <c r="G295" s="101"/>
      <c r="H295" s="101"/>
      <c r="I295" s="101"/>
      <c r="J295" s="101"/>
      <c r="S295" s="101"/>
      <c r="T295" s="241"/>
      <c r="U295" s="241"/>
      <c r="V295" s="241"/>
      <c r="W295" s="241"/>
      <c r="X295" s="241"/>
      <c r="Y295" s="241"/>
      <c r="Z295" s="252"/>
    </row>
    <row r="296" spans="3:26" ht="16.5">
      <c r="C296" s="101"/>
      <c r="D296" s="101"/>
      <c r="E296" s="101"/>
      <c r="F296" s="101"/>
      <c r="G296" s="101"/>
      <c r="H296" s="101"/>
      <c r="I296" s="101"/>
      <c r="J296" s="101"/>
      <c r="S296" s="101"/>
      <c r="T296" s="241"/>
      <c r="U296" s="241"/>
      <c r="V296" s="241"/>
      <c r="W296" s="241"/>
      <c r="X296" s="241"/>
      <c r="Y296" s="241"/>
      <c r="Z296" s="252"/>
    </row>
    <row r="297" spans="3:26" ht="16.5">
      <c r="C297" s="101"/>
      <c r="D297" s="101"/>
      <c r="E297" s="101"/>
      <c r="F297" s="101"/>
      <c r="G297" s="101"/>
      <c r="H297" s="101"/>
      <c r="I297" s="101"/>
      <c r="J297" s="101"/>
      <c r="S297" s="101"/>
      <c r="T297" s="241"/>
      <c r="U297" s="241"/>
      <c r="V297" s="241"/>
      <c r="W297" s="241"/>
      <c r="X297" s="241"/>
      <c r="Y297" s="241"/>
      <c r="Z297" s="252"/>
    </row>
    <row r="298" spans="3:26" ht="16.5">
      <c r="C298" s="101"/>
      <c r="D298" s="101"/>
      <c r="E298" s="101"/>
      <c r="F298" s="101"/>
      <c r="G298" s="101"/>
      <c r="H298" s="101"/>
      <c r="I298" s="101"/>
      <c r="J298" s="101"/>
      <c r="S298" s="101"/>
      <c r="T298" s="241"/>
      <c r="U298" s="241"/>
      <c r="V298" s="241"/>
      <c r="W298" s="241"/>
      <c r="X298" s="241"/>
      <c r="Y298" s="241"/>
      <c r="Z298" s="252"/>
    </row>
    <row r="299" spans="3:26" ht="16.5">
      <c r="C299" s="101"/>
      <c r="D299" s="101"/>
      <c r="E299" s="101"/>
      <c r="F299" s="101"/>
      <c r="G299" s="101"/>
      <c r="H299" s="101"/>
      <c r="I299" s="101"/>
      <c r="J299" s="101"/>
      <c r="S299" s="101"/>
      <c r="T299" s="241"/>
      <c r="U299" s="241"/>
      <c r="V299" s="241"/>
      <c r="W299" s="241"/>
      <c r="X299" s="241"/>
      <c r="Y299" s="241"/>
      <c r="Z299" s="252"/>
    </row>
    <row r="300" spans="3:26" ht="16.5">
      <c r="C300" s="101"/>
      <c r="D300" s="101"/>
      <c r="E300" s="101"/>
      <c r="F300" s="101"/>
      <c r="G300" s="101"/>
      <c r="H300" s="101"/>
      <c r="I300" s="101"/>
      <c r="J300" s="101"/>
      <c r="S300" s="101"/>
      <c r="T300" s="241"/>
      <c r="U300" s="241"/>
      <c r="V300" s="241"/>
      <c r="W300" s="241"/>
      <c r="X300" s="241"/>
      <c r="Y300" s="241"/>
      <c r="Z300" s="252"/>
    </row>
    <row r="301" spans="3:26" ht="16.5">
      <c r="C301" s="101"/>
      <c r="D301" s="101"/>
      <c r="E301" s="101"/>
      <c r="F301" s="101"/>
      <c r="G301" s="101"/>
      <c r="H301" s="101"/>
      <c r="I301" s="101"/>
      <c r="J301" s="101"/>
      <c r="S301" s="101"/>
      <c r="T301" s="241"/>
      <c r="U301" s="241"/>
      <c r="V301" s="241"/>
      <c r="W301" s="241"/>
      <c r="X301" s="241"/>
      <c r="Y301" s="241"/>
      <c r="Z301" s="252"/>
    </row>
    <row r="302" spans="3:26" ht="16.5">
      <c r="C302" s="101"/>
      <c r="D302" s="101"/>
      <c r="E302" s="101"/>
      <c r="F302" s="101"/>
      <c r="G302" s="101"/>
      <c r="H302" s="101"/>
      <c r="I302" s="101"/>
      <c r="J302" s="101"/>
      <c r="S302" s="101"/>
      <c r="T302" s="241"/>
      <c r="U302" s="241"/>
      <c r="V302" s="241"/>
      <c r="W302" s="241"/>
      <c r="X302" s="241"/>
      <c r="Y302" s="241"/>
      <c r="Z302" s="252"/>
    </row>
    <row r="303" spans="3:26" ht="16.5">
      <c r="C303" s="101"/>
      <c r="D303" s="101"/>
      <c r="E303" s="101"/>
      <c r="F303" s="101"/>
      <c r="G303" s="101"/>
      <c r="H303" s="101"/>
      <c r="I303" s="101"/>
      <c r="J303" s="101"/>
      <c r="S303" s="101"/>
      <c r="T303" s="241"/>
      <c r="U303" s="241"/>
      <c r="V303" s="241"/>
      <c r="W303" s="241"/>
      <c r="X303" s="241"/>
      <c r="Y303" s="241"/>
      <c r="Z303" s="252"/>
    </row>
    <row r="304" spans="3:26" ht="16.5">
      <c r="C304" s="101"/>
      <c r="D304" s="101"/>
      <c r="E304" s="101"/>
      <c r="F304" s="101"/>
      <c r="G304" s="101"/>
      <c r="H304" s="101"/>
      <c r="I304" s="101"/>
      <c r="J304" s="101"/>
      <c r="S304" s="101"/>
      <c r="T304" s="241"/>
      <c r="U304" s="241"/>
      <c r="V304" s="241"/>
      <c r="W304" s="241"/>
      <c r="X304" s="241"/>
      <c r="Y304" s="241"/>
      <c r="Z304" s="252"/>
    </row>
    <row r="305" spans="3:26" ht="16.5">
      <c r="C305" s="101"/>
      <c r="D305" s="101"/>
      <c r="E305" s="101"/>
      <c r="F305" s="101"/>
      <c r="G305" s="101"/>
      <c r="H305" s="101"/>
      <c r="I305" s="101"/>
      <c r="J305" s="101"/>
      <c r="S305" s="101"/>
      <c r="T305" s="241"/>
      <c r="U305" s="241"/>
      <c r="V305" s="241"/>
      <c r="W305" s="241"/>
      <c r="X305" s="241"/>
      <c r="Y305" s="241"/>
      <c r="Z305" s="252"/>
    </row>
    <row r="306" spans="3:26" ht="16.5">
      <c r="C306" s="101"/>
      <c r="D306" s="101"/>
      <c r="E306" s="101"/>
      <c r="F306" s="101"/>
      <c r="G306" s="101"/>
      <c r="H306" s="101"/>
      <c r="I306" s="101"/>
      <c r="J306" s="101"/>
      <c r="S306" s="101"/>
      <c r="T306" s="241"/>
      <c r="U306" s="241"/>
      <c r="V306" s="241"/>
      <c r="W306" s="241"/>
      <c r="X306" s="241"/>
      <c r="Y306" s="241"/>
      <c r="Z306" s="252"/>
    </row>
    <row r="307" spans="3:26" ht="16.5">
      <c r="C307" s="101"/>
      <c r="D307" s="101"/>
      <c r="E307" s="101"/>
      <c r="F307" s="101"/>
      <c r="G307" s="101"/>
      <c r="H307" s="101"/>
      <c r="I307" s="101"/>
      <c r="J307" s="101"/>
      <c r="S307" s="101"/>
      <c r="T307" s="241"/>
      <c r="U307" s="241"/>
      <c r="V307" s="241"/>
      <c r="W307" s="241"/>
      <c r="X307" s="241"/>
      <c r="Y307" s="241"/>
      <c r="Z307" s="252"/>
    </row>
    <row r="308" spans="3:26" ht="16.5">
      <c r="C308" s="101"/>
      <c r="D308" s="101"/>
      <c r="E308" s="101"/>
      <c r="F308" s="101"/>
      <c r="G308" s="101"/>
      <c r="H308" s="101"/>
      <c r="I308" s="101"/>
      <c r="J308" s="101"/>
      <c r="S308" s="101"/>
      <c r="T308" s="241"/>
      <c r="U308" s="241"/>
      <c r="V308" s="241"/>
      <c r="W308" s="241"/>
      <c r="X308" s="241"/>
      <c r="Y308" s="241"/>
      <c r="Z308" s="252"/>
    </row>
    <row r="309" spans="3:26" ht="16.5">
      <c r="C309" s="101"/>
      <c r="D309" s="101"/>
      <c r="E309" s="101"/>
      <c r="F309" s="101"/>
      <c r="G309" s="101"/>
      <c r="H309" s="101"/>
      <c r="I309" s="101"/>
      <c r="J309" s="101"/>
      <c r="S309" s="101"/>
      <c r="T309" s="241"/>
      <c r="U309" s="241"/>
      <c r="V309" s="241"/>
      <c r="W309" s="241"/>
      <c r="X309" s="241"/>
      <c r="Y309" s="241"/>
      <c r="Z309" s="252"/>
    </row>
    <row r="310" spans="3:26" ht="16.5">
      <c r="C310" s="101"/>
      <c r="D310" s="101"/>
      <c r="E310" s="101"/>
      <c r="F310" s="101"/>
      <c r="G310" s="101"/>
      <c r="H310" s="101"/>
      <c r="I310" s="101"/>
      <c r="J310" s="101"/>
      <c r="S310" s="101"/>
      <c r="T310" s="241"/>
      <c r="U310" s="241"/>
      <c r="V310" s="241"/>
      <c r="W310" s="241"/>
      <c r="X310" s="241"/>
      <c r="Y310" s="241"/>
      <c r="Z310" s="252"/>
    </row>
    <row r="311" spans="3:26" ht="16.5">
      <c r="C311" s="101"/>
      <c r="D311" s="101"/>
      <c r="E311" s="101"/>
      <c r="F311" s="101"/>
      <c r="G311" s="101"/>
      <c r="H311" s="101"/>
      <c r="I311" s="101"/>
      <c r="J311" s="101"/>
      <c r="S311" s="101"/>
      <c r="T311" s="241"/>
      <c r="U311" s="241"/>
      <c r="V311" s="241"/>
      <c r="W311" s="241"/>
      <c r="X311" s="241"/>
      <c r="Y311" s="241"/>
      <c r="Z311" s="252"/>
    </row>
    <row r="312" spans="3:26" ht="16.5">
      <c r="C312" s="101"/>
      <c r="D312" s="101"/>
      <c r="E312" s="101"/>
      <c r="F312" s="101"/>
      <c r="G312" s="101"/>
      <c r="H312" s="101"/>
      <c r="I312" s="101"/>
      <c r="J312" s="101"/>
      <c r="S312" s="101"/>
      <c r="T312" s="241"/>
      <c r="U312" s="241"/>
      <c r="V312" s="241"/>
      <c r="W312" s="241"/>
      <c r="X312" s="241"/>
      <c r="Y312" s="241"/>
      <c r="Z312" s="252"/>
    </row>
    <row r="313" spans="3:26" ht="16.5">
      <c r="C313" s="101"/>
      <c r="D313" s="101"/>
      <c r="E313" s="101"/>
      <c r="F313" s="101"/>
      <c r="G313" s="101"/>
      <c r="H313" s="101"/>
      <c r="I313" s="101"/>
      <c r="J313" s="101"/>
      <c r="S313" s="101"/>
      <c r="T313" s="241"/>
      <c r="U313" s="241"/>
      <c r="V313" s="241"/>
      <c r="W313" s="241"/>
      <c r="X313" s="241"/>
      <c r="Y313" s="241"/>
      <c r="Z313" s="252"/>
    </row>
    <row r="314" spans="3:26" ht="16.5">
      <c r="C314" s="101"/>
      <c r="D314" s="101"/>
      <c r="E314" s="101"/>
      <c r="F314" s="101"/>
      <c r="G314" s="101"/>
      <c r="H314" s="101"/>
      <c r="I314" s="101"/>
      <c r="J314" s="101"/>
      <c r="S314" s="101"/>
      <c r="T314" s="241"/>
      <c r="U314" s="241"/>
      <c r="V314" s="241"/>
      <c r="W314" s="241"/>
      <c r="X314" s="241"/>
      <c r="Y314" s="241"/>
      <c r="Z314" s="252"/>
    </row>
    <row r="315" spans="3:26" ht="16.5">
      <c r="C315" s="101"/>
      <c r="D315" s="101"/>
      <c r="E315" s="101"/>
      <c r="F315" s="101"/>
      <c r="G315" s="101"/>
      <c r="H315" s="101"/>
      <c r="I315" s="101"/>
      <c r="J315" s="101"/>
      <c r="S315" s="101"/>
      <c r="T315" s="241"/>
      <c r="U315" s="241"/>
      <c r="V315" s="241"/>
      <c r="W315" s="241"/>
      <c r="X315" s="241"/>
      <c r="Y315" s="241"/>
      <c r="Z315" s="252"/>
    </row>
    <row r="316" spans="3:26" ht="16.5">
      <c r="C316" s="101"/>
      <c r="D316" s="101"/>
      <c r="E316" s="101"/>
      <c r="F316" s="101"/>
      <c r="G316" s="101"/>
      <c r="H316" s="101"/>
      <c r="I316" s="101"/>
      <c r="J316" s="101"/>
      <c r="S316" s="101"/>
      <c r="T316" s="241"/>
      <c r="U316" s="241"/>
      <c r="V316" s="241"/>
      <c r="W316" s="241"/>
      <c r="X316" s="241"/>
      <c r="Y316" s="241"/>
      <c r="Z316" s="252"/>
    </row>
    <row r="317" spans="3:26" ht="16.5">
      <c r="C317" s="101"/>
      <c r="D317" s="101"/>
      <c r="E317" s="101"/>
      <c r="F317" s="101"/>
      <c r="G317" s="101"/>
      <c r="H317" s="101"/>
      <c r="I317" s="101"/>
      <c r="J317" s="101"/>
      <c r="S317" s="101"/>
      <c r="T317" s="241"/>
      <c r="U317" s="241"/>
      <c r="V317" s="241"/>
      <c r="W317" s="241"/>
      <c r="X317" s="241"/>
      <c r="Y317" s="241"/>
      <c r="Z317" s="252"/>
    </row>
    <row r="318" spans="3:26" ht="16.5">
      <c r="C318" s="101"/>
      <c r="D318" s="101"/>
      <c r="E318" s="101"/>
      <c r="F318" s="101"/>
      <c r="G318" s="101"/>
      <c r="H318" s="101"/>
      <c r="I318" s="101"/>
      <c r="J318" s="101"/>
      <c r="S318" s="101"/>
      <c r="T318" s="241"/>
      <c r="U318" s="241"/>
      <c r="V318" s="241"/>
      <c r="W318" s="241"/>
      <c r="X318" s="241"/>
      <c r="Y318" s="241"/>
      <c r="Z318" s="252"/>
    </row>
    <row r="319" spans="3:26" ht="16.5">
      <c r="C319" s="101"/>
      <c r="D319" s="101"/>
      <c r="E319" s="101"/>
      <c r="F319" s="101"/>
      <c r="G319" s="101"/>
      <c r="H319" s="101"/>
      <c r="I319" s="101"/>
      <c r="J319" s="101"/>
      <c r="S319" s="101"/>
      <c r="T319" s="241"/>
      <c r="U319" s="241"/>
      <c r="V319" s="241"/>
      <c r="W319" s="241"/>
      <c r="X319" s="241"/>
      <c r="Y319" s="241"/>
      <c r="Z319" s="252"/>
    </row>
    <row r="320" spans="3:26" ht="16.5">
      <c r="C320" s="101"/>
      <c r="D320" s="101"/>
      <c r="E320" s="101"/>
      <c r="F320" s="101"/>
      <c r="G320" s="101"/>
      <c r="H320" s="101"/>
      <c r="I320" s="101"/>
      <c r="J320" s="101"/>
      <c r="S320" s="101"/>
      <c r="T320" s="241"/>
      <c r="U320" s="241"/>
      <c r="V320" s="241"/>
      <c r="W320" s="241"/>
      <c r="X320" s="241"/>
      <c r="Y320" s="241"/>
      <c r="Z320" s="252"/>
    </row>
    <row r="321" spans="3:26" ht="16.5">
      <c r="C321" s="101"/>
      <c r="D321" s="101"/>
      <c r="E321" s="101"/>
      <c r="F321" s="101"/>
      <c r="G321" s="101"/>
      <c r="H321" s="101"/>
      <c r="I321" s="101"/>
      <c r="J321" s="101"/>
      <c r="S321" s="101"/>
      <c r="T321" s="241"/>
      <c r="U321" s="241"/>
      <c r="V321" s="241"/>
      <c r="W321" s="241"/>
      <c r="X321" s="241"/>
      <c r="Y321" s="241"/>
      <c r="Z321" s="252"/>
    </row>
    <row r="322" spans="3:26" ht="16.5">
      <c r="C322" s="101"/>
      <c r="D322" s="101"/>
      <c r="E322" s="101"/>
      <c r="F322" s="101"/>
      <c r="G322" s="101"/>
      <c r="H322" s="101"/>
      <c r="I322" s="101"/>
      <c r="J322" s="101"/>
      <c r="S322" s="101"/>
      <c r="T322" s="241"/>
      <c r="U322" s="241"/>
      <c r="V322" s="241"/>
      <c r="W322" s="241"/>
      <c r="X322" s="241"/>
      <c r="Y322" s="241"/>
      <c r="Z322" s="252"/>
    </row>
    <row r="323" spans="3:26" ht="16.5">
      <c r="C323" s="101"/>
      <c r="D323" s="101"/>
      <c r="E323" s="101"/>
      <c r="F323" s="101"/>
      <c r="G323" s="101"/>
      <c r="H323" s="101"/>
      <c r="I323" s="101"/>
      <c r="J323" s="101"/>
      <c r="S323" s="101"/>
      <c r="T323" s="241"/>
      <c r="U323" s="241"/>
      <c r="V323" s="241"/>
      <c r="W323" s="241"/>
      <c r="X323" s="241"/>
      <c r="Y323" s="241"/>
      <c r="Z323" s="252"/>
    </row>
    <row r="324" spans="3:26" ht="16.5">
      <c r="C324" s="101"/>
      <c r="D324" s="101"/>
      <c r="E324" s="101"/>
      <c r="F324" s="101"/>
      <c r="G324" s="101"/>
      <c r="H324" s="101"/>
      <c r="I324" s="101"/>
      <c r="J324" s="101"/>
      <c r="S324" s="101"/>
      <c r="T324" s="241"/>
      <c r="U324" s="241"/>
      <c r="V324" s="241"/>
      <c r="W324" s="241"/>
      <c r="X324" s="241"/>
      <c r="Y324" s="241"/>
      <c r="Z324" s="252"/>
    </row>
    <row r="325" spans="3:26" ht="16.5">
      <c r="C325" s="101"/>
      <c r="D325" s="101"/>
      <c r="E325" s="101"/>
      <c r="F325" s="101"/>
      <c r="G325" s="101"/>
      <c r="H325" s="101"/>
      <c r="I325" s="101"/>
      <c r="J325" s="101"/>
      <c r="S325" s="101"/>
      <c r="T325" s="241"/>
      <c r="U325" s="241"/>
      <c r="V325" s="241"/>
      <c r="W325" s="241"/>
      <c r="X325" s="241"/>
      <c r="Y325" s="241"/>
      <c r="Z325" s="252"/>
    </row>
    <row r="326" spans="3:26" ht="16.5">
      <c r="C326" s="101"/>
      <c r="D326" s="101"/>
      <c r="E326" s="101"/>
      <c r="F326" s="101"/>
      <c r="G326" s="101"/>
      <c r="H326" s="101"/>
      <c r="I326" s="101"/>
      <c r="J326" s="101"/>
      <c r="S326" s="101"/>
      <c r="T326" s="241"/>
      <c r="U326" s="241"/>
      <c r="V326" s="241"/>
      <c r="W326" s="241"/>
      <c r="X326" s="241"/>
      <c r="Y326" s="241"/>
      <c r="Z326" s="252"/>
    </row>
    <row r="327" spans="3:26" ht="16.5">
      <c r="C327" s="101"/>
      <c r="D327" s="101"/>
      <c r="E327" s="101"/>
      <c r="F327" s="101"/>
      <c r="G327" s="101"/>
      <c r="H327" s="101"/>
      <c r="I327" s="101"/>
      <c r="J327" s="101"/>
      <c r="S327" s="101"/>
      <c r="T327" s="241"/>
      <c r="U327" s="241"/>
      <c r="V327" s="241"/>
      <c r="W327" s="241"/>
      <c r="X327" s="241"/>
      <c r="Y327" s="241"/>
      <c r="Z327" s="252"/>
    </row>
    <row r="328" spans="3:26" ht="16.5">
      <c r="C328" s="101"/>
      <c r="D328" s="101"/>
      <c r="E328" s="101"/>
      <c r="F328" s="101"/>
      <c r="G328" s="101"/>
      <c r="H328" s="101"/>
      <c r="I328" s="101"/>
      <c r="J328" s="101"/>
      <c r="S328" s="101"/>
      <c r="T328" s="241"/>
      <c r="U328" s="241"/>
      <c r="V328" s="241"/>
      <c r="W328" s="241"/>
      <c r="X328" s="241"/>
      <c r="Y328" s="241"/>
      <c r="Z328" s="252"/>
    </row>
    <row r="329" spans="3:26" ht="16.5">
      <c r="C329" s="101"/>
      <c r="D329" s="101"/>
      <c r="E329" s="101"/>
      <c r="F329" s="101"/>
      <c r="G329" s="101"/>
      <c r="H329" s="101"/>
      <c r="I329" s="101"/>
      <c r="J329" s="101"/>
      <c r="S329" s="101"/>
      <c r="T329" s="241"/>
      <c r="U329" s="241"/>
      <c r="V329" s="241"/>
      <c r="W329" s="241"/>
      <c r="X329" s="241"/>
      <c r="Y329" s="241"/>
      <c r="Z329" s="252"/>
    </row>
    <row r="330" spans="3:26" ht="16.5">
      <c r="C330" s="101"/>
      <c r="D330" s="101"/>
      <c r="E330" s="101"/>
      <c r="F330" s="101"/>
      <c r="G330" s="101"/>
      <c r="H330" s="101"/>
      <c r="I330" s="101"/>
      <c r="J330" s="101"/>
      <c r="S330" s="101"/>
      <c r="T330" s="241"/>
      <c r="U330" s="241"/>
      <c r="V330" s="241"/>
      <c r="W330" s="241"/>
      <c r="X330" s="241"/>
      <c r="Y330" s="241"/>
      <c r="Z330" s="252"/>
    </row>
    <row r="331" spans="3:26" ht="16.5">
      <c r="C331" s="101"/>
      <c r="D331" s="101"/>
      <c r="E331" s="101"/>
      <c r="F331" s="101"/>
      <c r="G331" s="101"/>
      <c r="H331" s="101"/>
      <c r="I331" s="101"/>
      <c r="J331" s="101"/>
      <c r="S331" s="101"/>
      <c r="T331" s="241"/>
      <c r="U331" s="241"/>
      <c r="V331" s="241"/>
      <c r="W331" s="241"/>
      <c r="X331" s="241"/>
      <c r="Y331" s="241"/>
      <c r="Z331" s="252"/>
    </row>
    <row r="332" spans="3:26" ht="16.5">
      <c r="C332" s="101"/>
      <c r="D332" s="101"/>
      <c r="E332" s="101"/>
      <c r="F332" s="101"/>
      <c r="G332" s="101"/>
      <c r="H332" s="101"/>
      <c r="I332" s="101"/>
      <c r="J332" s="101"/>
      <c r="S332" s="101"/>
      <c r="T332" s="241"/>
      <c r="U332" s="241"/>
      <c r="V332" s="241"/>
      <c r="W332" s="241"/>
      <c r="X332" s="241"/>
      <c r="Y332" s="241"/>
      <c r="Z332" s="252"/>
    </row>
    <row r="333" spans="3:26" ht="16.5">
      <c r="C333" s="101"/>
      <c r="D333" s="101"/>
      <c r="E333" s="101"/>
      <c r="F333" s="101"/>
      <c r="G333" s="101"/>
      <c r="H333" s="101"/>
      <c r="I333" s="101"/>
      <c r="J333" s="101"/>
      <c r="S333" s="101"/>
      <c r="T333" s="241"/>
      <c r="U333" s="241"/>
      <c r="V333" s="241"/>
      <c r="W333" s="241"/>
      <c r="X333" s="241"/>
      <c r="Y333" s="241"/>
      <c r="Z333" s="252"/>
    </row>
    <row r="334" spans="3:26" ht="16.5">
      <c r="C334" s="101"/>
      <c r="D334" s="101"/>
      <c r="E334" s="101"/>
      <c r="F334" s="101"/>
      <c r="G334" s="101"/>
      <c r="H334" s="101"/>
      <c r="I334" s="101"/>
      <c r="J334" s="101"/>
      <c r="S334" s="101"/>
      <c r="T334" s="241"/>
      <c r="U334" s="241"/>
      <c r="V334" s="241"/>
      <c r="W334" s="241"/>
      <c r="X334" s="241"/>
      <c r="Y334" s="241"/>
      <c r="Z334" s="252"/>
    </row>
    <row r="335" spans="3:26" ht="16.5">
      <c r="C335" s="101"/>
      <c r="D335" s="101"/>
      <c r="E335" s="101"/>
      <c r="F335" s="101"/>
      <c r="G335" s="101"/>
      <c r="H335" s="101"/>
      <c r="I335" s="101"/>
      <c r="J335" s="101"/>
      <c r="S335" s="101"/>
      <c r="T335" s="241"/>
      <c r="U335" s="241"/>
      <c r="V335" s="241"/>
      <c r="W335" s="241"/>
      <c r="X335" s="241"/>
      <c r="Y335" s="241"/>
      <c r="Z335" s="252"/>
    </row>
    <row r="336" spans="3:26" ht="16.5">
      <c r="C336" s="101"/>
      <c r="D336" s="101"/>
      <c r="E336" s="101"/>
      <c r="F336" s="101"/>
      <c r="G336" s="101"/>
      <c r="H336" s="101"/>
      <c r="I336" s="101"/>
      <c r="J336" s="101"/>
      <c r="S336" s="101"/>
      <c r="T336" s="241"/>
      <c r="U336" s="241"/>
      <c r="V336" s="241"/>
      <c r="W336" s="241"/>
      <c r="X336" s="241"/>
      <c r="Y336" s="241"/>
      <c r="Z336" s="252"/>
    </row>
    <row r="337" spans="3:26" ht="16.5">
      <c r="C337" s="101"/>
      <c r="D337" s="101"/>
      <c r="E337" s="101"/>
      <c r="F337" s="101"/>
      <c r="G337" s="101"/>
      <c r="H337" s="101"/>
      <c r="I337" s="101"/>
      <c r="J337" s="101"/>
      <c r="S337" s="101"/>
      <c r="T337" s="241"/>
      <c r="U337" s="241"/>
      <c r="V337" s="241"/>
      <c r="W337" s="241"/>
      <c r="X337" s="241"/>
      <c r="Y337" s="241"/>
      <c r="Z337" s="252"/>
    </row>
    <row r="338" spans="3:26" ht="16.5">
      <c r="C338" s="101"/>
      <c r="D338" s="101"/>
      <c r="E338" s="101"/>
      <c r="F338" s="101"/>
      <c r="G338" s="101"/>
      <c r="H338" s="101"/>
      <c r="I338" s="101"/>
      <c r="J338" s="101"/>
      <c r="S338" s="101"/>
      <c r="T338" s="241"/>
      <c r="U338" s="241"/>
      <c r="V338" s="241"/>
      <c r="W338" s="241"/>
      <c r="X338" s="241"/>
      <c r="Y338" s="241"/>
      <c r="Z338" s="252"/>
    </row>
    <row r="339" spans="3:26" ht="16.5">
      <c r="C339" s="101"/>
      <c r="D339" s="101"/>
      <c r="E339" s="101"/>
      <c r="F339" s="101"/>
      <c r="G339" s="101"/>
      <c r="H339" s="101"/>
      <c r="I339" s="101"/>
      <c r="J339" s="101"/>
      <c r="S339" s="101"/>
      <c r="T339" s="241"/>
      <c r="U339" s="241"/>
      <c r="V339" s="241"/>
      <c r="W339" s="241"/>
      <c r="X339" s="241"/>
      <c r="Y339" s="241"/>
      <c r="Z339" s="252"/>
    </row>
    <row r="340" spans="3:26" ht="16.5">
      <c r="C340" s="101"/>
      <c r="D340" s="101"/>
      <c r="E340" s="101"/>
      <c r="F340" s="101"/>
      <c r="G340" s="101"/>
      <c r="H340" s="101"/>
      <c r="I340" s="101"/>
      <c r="J340" s="101"/>
      <c r="S340" s="101"/>
      <c r="T340" s="241"/>
      <c r="U340" s="241"/>
      <c r="V340" s="241"/>
      <c r="W340" s="241"/>
      <c r="X340" s="241"/>
      <c r="Y340" s="241"/>
      <c r="Z340" s="252"/>
    </row>
    <row r="341" spans="3:26" ht="16.5">
      <c r="C341" s="101"/>
      <c r="D341" s="101"/>
      <c r="E341" s="101"/>
      <c r="F341" s="101"/>
      <c r="G341" s="101"/>
      <c r="H341" s="101"/>
      <c r="I341" s="101"/>
      <c r="J341" s="101"/>
      <c r="S341" s="101"/>
      <c r="T341" s="241"/>
      <c r="U341" s="241"/>
      <c r="V341" s="241"/>
      <c r="W341" s="241"/>
      <c r="X341" s="241"/>
      <c r="Y341" s="241"/>
      <c r="Z341" s="252"/>
    </row>
    <row r="342" spans="3:26" ht="16.5">
      <c r="C342" s="101"/>
      <c r="D342" s="101"/>
      <c r="E342" s="101"/>
      <c r="F342" s="101"/>
      <c r="G342" s="101"/>
      <c r="H342" s="101"/>
      <c r="I342" s="101"/>
      <c r="J342" s="101"/>
      <c r="S342" s="101"/>
      <c r="T342" s="241"/>
      <c r="U342" s="241"/>
      <c r="V342" s="241"/>
      <c r="W342" s="241"/>
      <c r="X342" s="241"/>
      <c r="Y342" s="241"/>
      <c r="Z342" s="252"/>
    </row>
    <row r="343" spans="3:26" ht="16.5">
      <c r="C343" s="101"/>
      <c r="D343" s="101"/>
      <c r="E343" s="101"/>
      <c r="F343" s="101"/>
      <c r="G343" s="101"/>
      <c r="H343" s="101"/>
      <c r="I343" s="101"/>
      <c r="J343" s="101"/>
      <c r="S343" s="101"/>
      <c r="T343" s="241"/>
      <c r="U343" s="241"/>
      <c r="V343" s="241"/>
      <c r="W343" s="241"/>
      <c r="X343" s="241"/>
      <c r="Y343" s="241"/>
      <c r="Z343" s="252"/>
    </row>
    <row r="344" spans="3:26" ht="16.5">
      <c r="C344" s="101"/>
      <c r="D344" s="101"/>
      <c r="E344" s="101"/>
      <c r="F344" s="101"/>
      <c r="G344" s="101"/>
      <c r="H344" s="101"/>
      <c r="I344" s="101"/>
      <c r="J344" s="101"/>
      <c r="S344" s="101"/>
      <c r="T344" s="241"/>
      <c r="U344" s="241"/>
      <c r="V344" s="241"/>
      <c r="W344" s="241"/>
      <c r="X344" s="241"/>
      <c r="Y344" s="241"/>
      <c r="Z344" s="252"/>
    </row>
    <row r="345" spans="3:26" ht="16.5">
      <c r="C345" s="101"/>
      <c r="D345" s="101"/>
      <c r="E345" s="101"/>
      <c r="F345" s="101"/>
      <c r="G345" s="101"/>
      <c r="H345" s="101"/>
      <c r="I345" s="101"/>
      <c r="J345" s="101"/>
      <c r="S345" s="101"/>
      <c r="T345" s="241"/>
      <c r="U345" s="241"/>
      <c r="V345" s="241"/>
      <c r="W345" s="241"/>
      <c r="X345" s="241"/>
      <c r="Y345" s="241"/>
      <c r="Z345" s="252"/>
    </row>
    <row r="346" spans="3:26" ht="16.5">
      <c r="C346" s="101"/>
      <c r="D346" s="101"/>
      <c r="E346" s="101"/>
      <c r="F346" s="101"/>
      <c r="G346" s="101"/>
      <c r="H346" s="101"/>
      <c r="I346" s="101"/>
      <c r="J346" s="101"/>
      <c r="S346" s="101"/>
      <c r="T346" s="241"/>
      <c r="U346" s="241"/>
      <c r="V346" s="241"/>
      <c r="W346" s="241"/>
      <c r="X346" s="241"/>
      <c r="Y346" s="241"/>
      <c r="Z346" s="252"/>
    </row>
    <row r="347" spans="3:26" ht="16.5">
      <c r="C347" s="101"/>
      <c r="D347" s="101"/>
      <c r="E347" s="101"/>
      <c r="F347" s="101"/>
      <c r="G347" s="101"/>
      <c r="H347" s="101"/>
      <c r="I347" s="101"/>
      <c r="J347" s="101"/>
      <c r="S347" s="101"/>
      <c r="T347" s="241"/>
      <c r="U347" s="241"/>
      <c r="V347" s="241"/>
      <c r="W347" s="241"/>
      <c r="X347" s="241"/>
      <c r="Y347" s="241"/>
      <c r="Z347" s="252"/>
    </row>
    <row r="348" spans="3:26" ht="16.5">
      <c r="C348" s="101"/>
      <c r="D348" s="101"/>
      <c r="E348" s="101"/>
      <c r="F348" s="101"/>
      <c r="G348" s="101"/>
      <c r="H348" s="101"/>
      <c r="I348" s="101"/>
      <c r="J348" s="101"/>
      <c r="S348" s="101"/>
      <c r="T348" s="241"/>
      <c r="U348" s="241"/>
      <c r="V348" s="241"/>
      <c r="W348" s="241"/>
      <c r="X348" s="241"/>
      <c r="Y348" s="241"/>
      <c r="Z348" s="252"/>
    </row>
    <row r="349" spans="3:26" ht="16.5">
      <c r="C349" s="101"/>
      <c r="D349" s="101"/>
      <c r="E349" s="101"/>
      <c r="F349" s="101"/>
      <c r="G349" s="101"/>
      <c r="H349" s="101"/>
      <c r="I349" s="101"/>
      <c r="J349" s="101"/>
      <c r="S349" s="101"/>
      <c r="T349" s="241"/>
      <c r="U349" s="241"/>
      <c r="V349" s="241"/>
      <c r="W349" s="241"/>
      <c r="X349" s="241"/>
      <c r="Y349" s="241"/>
      <c r="Z349" s="252"/>
    </row>
    <row r="350" spans="3:26" ht="16.5">
      <c r="C350" s="101"/>
      <c r="D350" s="101"/>
      <c r="E350" s="101"/>
      <c r="F350" s="101"/>
      <c r="G350" s="101"/>
      <c r="H350" s="101"/>
      <c r="I350" s="101"/>
      <c r="J350" s="101"/>
      <c r="S350" s="101"/>
      <c r="T350" s="241"/>
      <c r="U350" s="241"/>
      <c r="V350" s="241"/>
      <c r="W350" s="241"/>
      <c r="X350" s="241"/>
      <c r="Y350" s="241"/>
      <c r="Z350" s="252"/>
    </row>
    <row r="351" spans="3:26" ht="16.5">
      <c r="C351" s="101"/>
      <c r="D351" s="101"/>
      <c r="E351" s="101"/>
      <c r="F351" s="101"/>
      <c r="G351" s="101"/>
      <c r="H351" s="101"/>
      <c r="I351" s="101"/>
      <c r="J351" s="101"/>
      <c r="S351" s="101"/>
      <c r="T351" s="241"/>
      <c r="U351" s="241"/>
      <c r="V351" s="241"/>
      <c r="W351" s="241"/>
      <c r="X351" s="241"/>
      <c r="Y351" s="241"/>
      <c r="Z351" s="252"/>
    </row>
    <row r="352" spans="3:26" ht="16.5">
      <c r="C352" s="101"/>
      <c r="D352" s="101"/>
      <c r="E352" s="101"/>
      <c r="F352" s="101"/>
      <c r="G352" s="101"/>
      <c r="H352" s="101"/>
      <c r="I352" s="101"/>
      <c r="J352" s="101"/>
      <c r="S352" s="101"/>
      <c r="T352" s="241"/>
      <c r="U352" s="241"/>
      <c r="V352" s="241"/>
      <c r="W352" s="241"/>
      <c r="X352" s="241"/>
      <c r="Y352" s="241"/>
      <c r="Z352" s="252"/>
    </row>
    <row r="353" spans="3:26" ht="16.5">
      <c r="C353" s="101"/>
      <c r="D353" s="101"/>
      <c r="E353" s="101"/>
      <c r="F353" s="101"/>
      <c r="G353" s="101"/>
      <c r="H353" s="101"/>
      <c r="I353" s="101"/>
      <c r="J353" s="101"/>
      <c r="S353" s="101"/>
      <c r="T353" s="241"/>
      <c r="U353" s="241"/>
      <c r="V353" s="241"/>
      <c r="W353" s="241"/>
      <c r="X353" s="241"/>
      <c r="Y353" s="241"/>
      <c r="Z353" s="252"/>
    </row>
    <row r="354" spans="3:26" ht="16.5">
      <c r="C354" s="101"/>
      <c r="D354" s="101"/>
      <c r="E354" s="101"/>
      <c r="F354" s="101"/>
      <c r="G354" s="101"/>
      <c r="H354" s="101"/>
      <c r="I354" s="101"/>
      <c r="J354" s="101"/>
      <c r="S354" s="101"/>
      <c r="T354" s="241"/>
      <c r="U354" s="241"/>
      <c r="V354" s="241"/>
      <c r="W354" s="241"/>
      <c r="X354" s="241"/>
      <c r="Y354" s="241"/>
      <c r="Z354" s="252"/>
    </row>
    <row r="355" spans="3:26" ht="16.5">
      <c r="C355" s="101"/>
      <c r="D355" s="101"/>
      <c r="E355" s="101"/>
      <c r="F355" s="101"/>
      <c r="G355" s="101"/>
      <c r="H355" s="101"/>
      <c r="I355" s="101"/>
      <c r="J355" s="101"/>
      <c r="S355" s="101"/>
      <c r="T355" s="241"/>
      <c r="U355" s="241"/>
      <c r="V355" s="241"/>
      <c r="W355" s="241"/>
      <c r="X355" s="241"/>
      <c r="Y355" s="241"/>
      <c r="Z355" s="252"/>
    </row>
    <row r="356" spans="3:26" ht="16.5">
      <c r="C356" s="101"/>
      <c r="D356" s="101"/>
      <c r="E356" s="101"/>
      <c r="F356" s="101"/>
      <c r="G356" s="101"/>
      <c r="H356" s="101"/>
      <c r="I356" s="101"/>
      <c r="J356" s="101"/>
      <c r="S356" s="101"/>
      <c r="T356" s="241"/>
      <c r="U356" s="241"/>
      <c r="V356" s="241"/>
      <c r="W356" s="241"/>
      <c r="X356" s="241"/>
      <c r="Y356" s="241"/>
      <c r="Z356" s="252"/>
    </row>
    <row r="357" spans="3:26" ht="16.5">
      <c r="C357" s="101"/>
      <c r="D357" s="101"/>
      <c r="E357" s="101"/>
      <c r="F357" s="101"/>
      <c r="G357" s="101"/>
      <c r="H357" s="101"/>
      <c r="I357" s="101"/>
      <c r="J357" s="101"/>
      <c r="S357" s="101"/>
      <c r="T357" s="241"/>
      <c r="U357" s="241"/>
      <c r="V357" s="241"/>
      <c r="W357" s="241"/>
      <c r="X357" s="241"/>
      <c r="Y357" s="241"/>
      <c r="Z357" s="252"/>
    </row>
    <row r="358" spans="3:26" ht="16.5">
      <c r="C358" s="101"/>
      <c r="D358" s="101"/>
      <c r="E358" s="101"/>
      <c r="F358" s="101"/>
      <c r="G358" s="101"/>
      <c r="H358" s="101"/>
      <c r="I358" s="101"/>
      <c r="J358" s="101"/>
      <c r="S358" s="101"/>
      <c r="T358" s="241"/>
      <c r="U358" s="241"/>
      <c r="V358" s="241"/>
      <c r="W358" s="241"/>
      <c r="X358" s="241"/>
      <c r="Y358" s="241"/>
      <c r="Z358" s="252"/>
    </row>
    <row r="359" spans="3:26" ht="16.5">
      <c r="C359" s="101"/>
      <c r="D359" s="101"/>
      <c r="E359" s="101"/>
      <c r="F359" s="101"/>
      <c r="G359" s="101"/>
      <c r="H359" s="101"/>
      <c r="I359" s="101"/>
      <c r="J359" s="101"/>
      <c r="S359" s="101"/>
      <c r="T359" s="241"/>
      <c r="U359" s="241"/>
      <c r="V359" s="241"/>
      <c r="W359" s="241"/>
      <c r="X359" s="241"/>
      <c r="Y359" s="241"/>
      <c r="Z359" s="252"/>
    </row>
    <row r="360" spans="3:26" ht="16.5">
      <c r="C360" s="101"/>
      <c r="D360" s="101"/>
      <c r="E360" s="101"/>
      <c r="F360" s="101"/>
      <c r="G360" s="101"/>
      <c r="H360" s="101"/>
      <c r="I360" s="101"/>
      <c r="J360" s="101"/>
      <c r="S360" s="101"/>
      <c r="T360" s="241"/>
      <c r="U360" s="241"/>
      <c r="V360" s="241"/>
      <c r="W360" s="241"/>
      <c r="X360" s="241"/>
      <c r="Y360" s="241"/>
      <c r="Z360" s="252"/>
    </row>
    <row r="361" spans="3:26" ht="16.5">
      <c r="C361" s="101"/>
      <c r="D361" s="101"/>
      <c r="E361" s="101"/>
      <c r="F361" s="101"/>
      <c r="G361" s="101"/>
      <c r="H361" s="101"/>
      <c r="I361" s="101"/>
      <c r="J361" s="101"/>
      <c r="S361" s="101"/>
      <c r="T361" s="241"/>
      <c r="U361" s="241"/>
      <c r="V361" s="241"/>
      <c r="W361" s="241"/>
      <c r="X361" s="241"/>
      <c r="Y361" s="241"/>
      <c r="Z361" s="252"/>
    </row>
    <row r="362" spans="3:26" ht="16.5">
      <c r="C362" s="101"/>
      <c r="D362" s="101"/>
      <c r="E362" s="101"/>
      <c r="F362" s="101"/>
      <c r="G362" s="101"/>
      <c r="H362" s="101"/>
      <c r="I362" s="101"/>
      <c r="J362" s="101"/>
      <c r="S362" s="101"/>
      <c r="T362" s="241"/>
      <c r="U362" s="241"/>
      <c r="V362" s="241"/>
      <c r="W362" s="241"/>
      <c r="X362" s="241"/>
      <c r="Y362" s="241"/>
      <c r="Z362" s="252"/>
    </row>
    <row r="363" spans="3:26" ht="16.5">
      <c r="C363" s="101"/>
      <c r="D363" s="101"/>
      <c r="E363" s="101"/>
      <c r="F363" s="101"/>
      <c r="G363" s="101"/>
      <c r="H363" s="101"/>
      <c r="I363" s="101"/>
      <c r="J363" s="101"/>
      <c r="S363" s="101"/>
      <c r="T363" s="241"/>
      <c r="U363" s="241"/>
      <c r="V363" s="241"/>
      <c r="W363" s="241"/>
      <c r="X363" s="241"/>
      <c r="Y363" s="241"/>
      <c r="Z363" s="252"/>
    </row>
    <row r="364" spans="3:26" ht="16.5">
      <c r="C364" s="101"/>
      <c r="D364" s="101"/>
      <c r="E364" s="101"/>
      <c r="F364" s="101"/>
      <c r="G364" s="101"/>
      <c r="H364" s="101"/>
      <c r="I364" s="101"/>
      <c r="J364" s="101"/>
      <c r="S364" s="101"/>
      <c r="T364" s="241"/>
      <c r="U364" s="241"/>
      <c r="V364" s="241"/>
      <c r="W364" s="241"/>
      <c r="X364" s="241"/>
      <c r="Y364" s="241"/>
      <c r="Z364" s="252"/>
    </row>
    <row r="365" spans="3:26" ht="16.5">
      <c r="C365" s="101"/>
      <c r="D365" s="101"/>
      <c r="E365" s="101"/>
      <c r="F365" s="101"/>
      <c r="G365" s="101"/>
      <c r="H365" s="101"/>
      <c r="I365" s="101"/>
      <c r="J365" s="101"/>
      <c r="S365" s="101"/>
      <c r="T365" s="241"/>
      <c r="U365" s="241"/>
      <c r="V365" s="241"/>
      <c r="W365" s="241"/>
      <c r="X365" s="241"/>
      <c r="Y365" s="241"/>
      <c r="Z365" s="252"/>
    </row>
    <row r="366" spans="3:26" ht="16.5">
      <c r="C366" s="101"/>
      <c r="D366" s="101"/>
      <c r="E366" s="101"/>
      <c r="F366" s="101"/>
      <c r="G366" s="101"/>
      <c r="H366" s="101"/>
      <c r="I366" s="101"/>
      <c r="J366" s="101"/>
      <c r="S366" s="101"/>
      <c r="T366" s="241"/>
      <c r="U366" s="241"/>
      <c r="V366" s="241"/>
      <c r="W366" s="241"/>
      <c r="X366" s="241"/>
      <c r="Y366" s="241"/>
      <c r="Z366" s="252"/>
    </row>
    <row r="367" spans="3:26" ht="16.5">
      <c r="C367" s="101"/>
      <c r="D367" s="101"/>
      <c r="E367" s="101"/>
      <c r="F367" s="101"/>
      <c r="G367" s="101"/>
      <c r="H367" s="101"/>
      <c r="I367" s="101"/>
      <c r="J367" s="101"/>
      <c r="S367" s="101"/>
      <c r="T367" s="241"/>
      <c r="U367" s="241"/>
      <c r="V367" s="241"/>
      <c r="W367" s="241"/>
      <c r="X367" s="241"/>
      <c r="Y367" s="241"/>
      <c r="Z367" s="252"/>
    </row>
    <row r="368" spans="3:26" ht="16.5">
      <c r="C368" s="101"/>
      <c r="D368" s="101"/>
      <c r="E368" s="101"/>
      <c r="F368" s="101"/>
      <c r="G368" s="101"/>
      <c r="H368" s="101"/>
      <c r="I368" s="101"/>
      <c r="J368" s="101"/>
      <c r="S368" s="101"/>
      <c r="T368" s="241"/>
      <c r="U368" s="241"/>
      <c r="V368" s="241"/>
      <c r="W368" s="241"/>
      <c r="X368" s="241"/>
      <c r="Y368" s="241"/>
      <c r="Z368" s="252"/>
    </row>
    <row r="369" spans="3:26" ht="16.5">
      <c r="C369" s="101"/>
      <c r="D369" s="101"/>
      <c r="E369" s="101"/>
      <c r="F369" s="101"/>
      <c r="G369" s="101"/>
      <c r="H369" s="101"/>
      <c r="I369" s="101"/>
      <c r="J369" s="101"/>
      <c r="S369" s="101"/>
      <c r="T369" s="241"/>
      <c r="U369" s="241"/>
      <c r="V369" s="241"/>
      <c r="W369" s="241"/>
      <c r="X369" s="241"/>
      <c r="Y369" s="241"/>
      <c r="Z369" s="252"/>
    </row>
    <row r="370" spans="3:26" ht="16.5">
      <c r="C370" s="101"/>
      <c r="D370" s="101"/>
      <c r="E370" s="101"/>
      <c r="F370" s="101"/>
      <c r="G370" s="101"/>
      <c r="H370" s="101"/>
      <c r="I370" s="101"/>
      <c r="J370" s="101"/>
      <c r="S370" s="101"/>
      <c r="T370" s="241"/>
      <c r="U370" s="241"/>
      <c r="V370" s="241"/>
      <c r="W370" s="241"/>
      <c r="X370" s="241"/>
      <c r="Y370" s="241"/>
      <c r="Z370" s="252"/>
    </row>
    <row r="371" spans="3:26" ht="16.5">
      <c r="C371" s="101"/>
      <c r="D371" s="101"/>
      <c r="E371" s="101"/>
      <c r="F371" s="101"/>
      <c r="G371" s="101"/>
      <c r="H371" s="101"/>
      <c r="I371" s="101"/>
      <c r="J371" s="101"/>
      <c r="S371" s="101"/>
      <c r="T371" s="241"/>
      <c r="U371" s="241"/>
      <c r="V371" s="241"/>
      <c r="W371" s="241"/>
      <c r="X371" s="241"/>
      <c r="Y371" s="241"/>
      <c r="Z371" s="252"/>
    </row>
    <row r="372" spans="3:26" ht="16.5">
      <c r="C372" s="101"/>
      <c r="D372" s="101"/>
      <c r="E372" s="101"/>
      <c r="F372" s="101"/>
      <c r="G372" s="101"/>
      <c r="H372" s="101"/>
      <c r="I372" s="101"/>
      <c r="J372" s="101"/>
      <c r="S372" s="101"/>
      <c r="T372" s="241"/>
      <c r="U372" s="241"/>
      <c r="V372" s="241"/>
      <c r="W372" s="241"/>
      <c r="X372" s="241"/>
      <c r="Y372" s="241"/>
      <c r="Z372" s="252"/>
    </row>
    <row r="373" spans="3:26" ht="16.5">
      <c r="C373" s="101"/>
      <c r="D373" s="101"/>
      <c r="E373" s="101"/>
      <c r="F373" s="101"/>
      <c r="G373" s="101"/>
      <c r="H373" s="101"/>
      <c r="I373" s="101"/>
      <c r="J373" s="101"/>
      <c r="S373" s="101"/>
      <c r="T373" s="241"/>
      <c r="U373" s="241"/>
      <c r="V373" s="241"/>
      <c r="W373" s="241"/>
      <c r="X373" s="241"/>
      <c r="Y373" s="241"/>
      <c r="Z373" s="252"/>
    </row>
    <row r="374" spans="3:26" ht="16.5">
      <c r="C374" s="101"/>
      <c r="D374" s="101"/>
      <c r="E374" s="101"/>
      <c r="F374" s="101"/>
      <c r="G374" s="101"/>
      <c r="H374" s="101"/>
      <c r="I374" s="101"/>
      <c r="J374" s="101"/>
      <c r="S374" s="101"/>
      <c r="T374" s="241"/>
      <c r="U374" s="241"/>
      <c r="V374" s="241"/>
      <c r="W374" s="241"/>
      <c r="X374" s="241"/>
      <c r="Y374" s="241"/>
      <c r="Z374" s="252"/>
    </row>
    <row r="375" spans="3:26" ht="16.5">
      <c r="C375" s="101"/>
      <c r="D375" s="101"/>
      <c r="E375" s="101"/>
      <c r="F375" s="101"/>
      <c r="G375" s="101"/>
      <c r="H375" s="101"/>
      <c r="I375" s="101"/>
      <c r="J375" s="101"/>
      <c r="S375" s="101"/>
      <c r="T375" s="241"/>
      <c r="U375" s="241"/>
      <c r="V375" s="241"/>
      <c r="W375" s="241"/>
      <c r="X375" s="241"/>
      <c r="Y375" s="241"/>
      <c r="Z375" s="252"/>
    </row>
    <row r="376" spans="3:26" ht="16.5">
      <c r="C376" s="101"/>
      <c r="D376" s="101"/>
      <c r="E376" s="101"/>
      <c r="F376" s="101"/>
      <c r="G376" s="101"/>
      <c r="H376" s="101"/>
      <c r="I376" s="101"/>
      <c r="J376" s="101"/>
      <c r="S376" s="101"/>
      <c r="T376" s="241"/>
      <c r="U376" s="241"/>
      <c r="V376" s="241"/>
      <c r="W376" s="241"/>
      <c r="X376" s="241"/>
      <c r="Y376" s="241"/>
      <c r="Z376" s="252"/>
    </row>
    <row r="377" spans="3:26" ht="16.5">
      <c r="C377" s="101"/>
      <c r="D377" s="101"/>
      <c r="E377" s="101"/>
      <c r="F377" s="101"/>
      <c r="G377" s="101"/>
      <c r="H377" s="101"/>
      <c r="I377" s="101"/>
      <c r="J377" s="101"/>
      <c r="S377" s="101"/>
      <c r="T377" s="241"/>
      <c r="U377" s="241"/>
      <c r="V377" s="241"/>
      <c r="W377" s="241"/>
      <c r="X377" s="241"/>
      <c r="Y377" s="241"/>
      <c r="Z377" s="252"/>
    </row>
    <row r="378" spans="3:26" ht="16.5">
      <c r="C378" s="101"/>
      <c r="D378" s="101"/>
      <c r="E378" s="101"/>
      <c r="F378" s="101"/>
      <c r="G378" s="101"/>
      <c r="H378" s="101"/>
      <c r="I378" s="101"/>
      <c r="J378" s="101"/>
      <c r="S378" s="101"/>
      <c r="T378" s="241"/>
      <c r="U378" s="241"/>
      <c r="V378" s="241"/>
      <c r="W378" s="241"/>
      <c r="X378" s="241"/>
      <c r="Y378" s="241"/>
      <c r="Z378" s="252"/>
    </row>
    <row r="379" spans="3:26" ht="16.5">
      <c r="C379" s="101"/>
      <c r="D379" s="101"/>
      <c r="E379" s="101"/>
      <c r="F379" s="101"/>
      <c r="G379" s="101"/>
      <c r="H379" s="101"/>
      <c r="I379" s="101"/>
      <c r="J379" s="101"/>
      <c r="S379" s="101"/>
      <c r="T379" s="241"/>
      <c r="U379" s="241"/>
      <c r="V379" s="241"/>
      <c r="W379" s="241"/>
      <c r="X379" s="241"/>
      <c r="Y379" s="241"/>
      <c r="Z379" s="252"/>
    </row>
    <row r="380" spans="3:26" ht="16.5">
      <c r="C380" s="101"/>
      <c r="D380" s="101"/>
      <c r="E380" s="101"/>
      <c r="F380" s="101"/>
      <c r="G380" s="101"/>
      <c r="H380" s="101"/>
      <c r="I380" s="101"/>
      <c r="J380" s="101"/>
      <c r="S380" s="101"/>
      <c r="T380" s="241"/>
      <c r="U380" s="241"/>
      <c r="V380" s="241"/>
      <c r="W380" s="241"/>
      <c r="X380" s="241"/>
      <c r="Y380" s="241"/>
      <c r="Z380" s="252"/>
    </row>
    <row r="381" spans="3:26" ht="16.5">
      <c r="C381" s="101"/>
      <c r="D381" s="101"/>
      <c r="E381" s="101"/>
      <c r="F381" s="101"/>
      <c r="G381" s="101"/>
      <c r="H381" s="101"/>
      <c r="I381" s="101"/>
      <c r="J381" s="101"/>
      <c r="S381" s="101"/>
      <c r="T381" s="241"/>
      <c r="U381" s="241"/>
      <c r="V381" s="241"/>
      <c r="W381" s="241"/>
      <c r="X381" s="241"/>
      <c r="Y381" s="241"/>
      <c r="Z381" s="252"/>
    </row>
    <row r="382" spans="3:26" ht="16.5">
      <c r="C382" s="101"/>
      <c r="D382" s="101"/>
      <c r="E382" s="101"/>
      <c r="F382" s="101"/>
      <c r="G382" s="101"/>
      <c r="H382" s="101"/>
      <c r="I382" s="101"/>
      <c r="J382" s="101"/>
      <c r="S382" s="101"/>
      <c r="T382" s="241"/>
      <c r="U382" s="241"/>
      <c r="V382" s="241"/>
      <c r="W382" s="241"/>
      <c r="X382" s="241"/>
      <c r="Y382" s="241"/>
      <c r="Z382" s="252"/>
    </row>
    <row r="383" spans="3:26" ht="16.5">
      <c r="C383" s="101"/>
      <c r="D383" s="101"/>
      <c r="E383" s="101"/>
      <c r="F383" s="101"/>
      <c r="G383" s="101"/>
      <c r="H383" s="101"/>
      <c r="I383" s="101"/>
      <c r="J383" s="101"/>
      <c r="S383" s="101"/>
      <c r="T383" s="241"/>
      <c r="U383" s="241"/>
      <c r="V383" s="241"/>
      <c r="W383" s="241"/>
      <c r="X383" s="241"/>
      <c r="Y383" s="241"/>
      <c r="Z383" s="252"/>
    </row>
    <row r="384" spans="3:26" ht="16.5">
      <c r="C384" s="101"/>
      <c r="D384" s="101"/>
      <c r="E384" s="101"/>
      <c r="F384" s="101"/>
      <c r="G384" s="101"/>
      <c r="H384" s="101"/>
      <c r="I384" s="101"/>
      <c r="J384" s="101"/>
      <c r="S384" s="101"/>
      <c r="T384" s="241"/>
      <c r="U384" s="241"/>
      <c r="V384" s="241"/>
      <c r="W384" s="241"/>
      <c r="X384" s="241"/>
      <c r="Y384" s="241"/>
      <c r="Z384" s="252"/>
    </row>
    <row r="385" spans="3:26" ht="16.5">
      <c r="C385" s="101"/>
      <c r="D385" s="101"/>
      <c r="E385" s="101"/>
      <c r="F385" s="101"/>
      <c r="G385" s="101"/>
      <c r="H385" s="101"/>
      <c r="I385" s="101"/>
      <c r="J385" s="101"/>
      <c r="S385" s="101"/>
      <c r="T385" s="241"/>
      <c r="U385" s="241"/>
      <c r="V385" s="241"/>
      <c r="W385" s="241"/>
      <c r="X385" s="241"/>
      <c r="Y385" s="241"/>
      <c r="Z385" s="252"/>
    </row>
    <row r="386" spans="3:26" ht="16.5">
      <c r="C386" s="101"/>
      <c r="D386" s="101"/>
      <c r="E386" s="101"/>
      <c r="F386" s="101"/>
      <c r="G386" s="101"/>
      <c r="H386" s="101"/>
      <c r="I386" s="101"/>
      <c r="J386" s="101"/>
      <c r="S386" s="101"/>
      <c r="T386" s="241"/>
      <c r="U386" s="241"/>
      <c r="V386" s="241"/>
      <c r="W386" s="241"/>
      <c r="X386" s="241"/>
      <c r="Y386" s="241"/>
      <c r="Z386" s="252"/>
    </row>
    <row r="387" spans="3:26" ht="16.5">
      <c r="C387" s="101"/>
      <c r="D387" s="101"/>
      <c r="E387" s="101"/>
      <c r="F387" s="101"/>
      <c r="G387" s="101"/>
      <c r="H387" s="101"/>
      <c r="I387" s="101"/>
      <c r="J387" s="101"/>
      <c r="S387" s="101"/>
      <c r="T387" s="241"/>
      <c r="U387" s="241"/>
      <c r="V387" s="241"/>
      <c r="W387" s="241"/>
      <c r="X387" s="241"/>
      <c r="Y387" s="241"/>
      <c r="Z387" s="252"/>
    </row>
    <row r="388" spans="3:26" ht="16.5">
      <c r="C388" s="101"/>
      <c r="D388" s="101"/>
      <c r="E388" s="101"/>
      <c r="F388" s="101"/>
      <c r="G388" s="101"/>
      <c r="H388" s="101"/>
      <c r="I388" s="101"/>
      <c r="J388" s="101"/>
      <c r="S388" s="101"/>
      <c r="T388" s="241"/>
      <c r="U388" s="241"/>
      <c r="V388" s="241"/>
      <c r="W388" s="241"/>
      <c r="X388" s="241"/>
      <c r="Y388" s="241"/>
      <c r="Z388" s="252"/>
    </row>
    <row r="389" spans="3:26" ht="16.5">
      <c r="C389" s="101"/>
      <c r="D389" s="101"/>
      <c r="E389" s="101"/>
      <c r="F389" s="101"/>
      <c r="G389" s="101"/>
      <c r="H389" s="101"/>
      <c r="I389" s="101"/>
      <c r="J389" s="101"/>
      <c r="S389" s="101"/>
      <c r="T389" s="241"/>
      <c r="U389" s="241"/>
      <c r="V389" s="241"/>
      <c r="W389" s="241"/>
      <c r="X389" s="241"/>
      <c r="Y389" s="241"/>
      <c r="Z389" s="252"/>
    </row>
    <row r="390" spans="3:26" ht="16.5">
      <c r="C390" s="101"/>
      <c r="D390" s="101"/>
      <c r="E390" s="101"/>
      <c r="F390" s="101"/>
      <c r="G390" s="101"/>
      <c r="H390" s="101"/>
      <c r="I390" s="101"/>
      <c r="J390" s="101"/>
      <c r="S390" s="101"/>
      <c r="T390" s="241"/>
      <c r="U390" s="241"/>
      <c r="V390" s="241"/>
      <c r="W390" s="241"/>
      <c r="X390" s="241"/>
      <c r="Y390" s="241"/>
      <c r="Z390" s="252"/>
    </row>
    <row r="391" spans="3:26" ht="16.5">
      <c r="C391" s="101"/>
      <c r="D391" s="101"/>
      <c r="E391" s="101"/>
      <c r="F391" s="101"/>
      <c r="G391" s="101"/>
      <c r="H391" s="101"/>
      <c r="I391" s="101"/>
      <c r="J391" s="101"/>
      <c r="S391" s="101"/>
      <c r="T391" s="241"/>
      <c r="U391" s="241"/>
      <c r="V391" s="241"/>
      <c r="W391" s="241"/>
      <c r="X391" s="241"/>
      <c r="Y391" s="241"/>
      <c r="Z391" s="252"/>
    </row>
    <row r="392" spans="3:26" ht="16.5">
      <c r="C392" s="101"/>
      <c r="D392" s="101"/>
      <c r="E392" s="101"/>
      <c r="F392" s="101"/>
      <c r="G392" s="101"/>
      <c r="H392" s="101"/>
      <c r="I392" s="101"/>
      <c r="J392" s="101"/>
      <c r="S392" s="101"/>
      <c r="T392" s="241"/>
      <c r="U392" s="241"/>
      <c r="V392" s="241"/>
      <c r="W392" s="241"/>
      <c r="X392" s="241"/>
      <c r="Y392" s="241"/>
      <c r="Z392" s="252"/>
    </row>
    <row r="393" spans="3:26" ht="16.5">
      <c r="C393" s="101"/>
      <c r="D393" s="101"/>
      <c r="E393" s="101"/>
      <c r="F393" s="101"/>
      <c r="G393" s="101"/>
      <c r="H393" s="101"/>
      <c r="I393" s="101"/>
      <c r="J393" s="101"/>
      <c r="S393" s="101"/>
      <c r="T393" s="241"/>
      <c r="U393" s="241"/>
      <c r="V393" s="241"/>
      <c r="W393" s="241"/>
      <c r="X393" s="241"/>
      <c r="Y393" s="241"/>
      <c r="Z393" s="252"/>
    </row>
    <row r="394" spans="3:26" ht="16.5">
      <c r="C394" s="101"/>
      <c r="D394" s="101"/>
      <c r="E394" s="101"/>
      <c r="F394" s="101"/>
      <c r="G394" s="101"/>
      <c r="H394" s="101"/>
      <c r="I394" s="101"/>
      <c r="J394" s="101"/>
      <c r="S394" s="101"/>
      <c r="T394" s="241"/>
      <c r="U394" s="241"/>
      <c r="V394" s="241"/>
      <c r="W394" s="241"/>
      <c r="X394" s="241"/>
      <c r="Y394" s="241"/>
      <c r="Z394" s="252"/>
    </row>
    <row r="395" spans="3:26" ht="16.5">
      <c r="C395" s="101"/>
      <c r="D395" s="101"/>
      <c r="E395" s="101"/>
      <c r="F395" s="101"/>
      <c r="G395" s="101"/>
      <c r="H395" s="101"/>
      <c r="I395" s="101"/>
      <c r="J395" s="101"/>
      <c r="S395" s="101"/>
      <c r="T395" s="241"/>
      <c r="U395" s="241"/>
      <c r="V395" s="241"/>
      <c r="W395" s="241"/>
      <c r="X395" s="241"/>
      <c r="Y395" s="241"/>
      <c r="Z395" s="252"/>
    </row>
    <row r="396" spans="3:26" ht="16.5">
      <c r="C396" s="101"/>
      <c r="D396" s="101"/>
      <c r="E396" s="101"/>
      <c r="F396" s="101"/>
      <c r="G396" s="101"/>
      <c r="H396" s="101"/>
      <c r="I396" s="101"/>
      <c r="J396" s="101"/>
      <c r="S396" s="101"/>
      <c r="T396" s="241"/>
      <c r="U396" s="241"/>
      <c r="V396" s="241"/>
      <c r="W396" s="241"/>
      <c r="X396" s="241"/>
      <c r="Y396" s="241"/>
      <c r="Z396" s="252"/>
    </row>
    <row r="397" spans="3:26" ht="16.5">
      <c r="C397" s="101"/>
      <c r="D397" s="101"/>
      <c r="E397" s="101"/>
      <c r="F397" s="101"/>
      <c r="G397" s="101"/>
      <c r="H397" s="101"/>
      <c r="I397" s="101"/>
      <c r="J397" s="101"/>
      <c r="S397" s="101"/>
      <c r="T397" s="241"/>
      <c r="U397" s="241"/>
      <c r="V397" s="241"/>
      <c r="W397" s="241"/>
      <c r="X397" s="241"/>
      <c r="Y397" s="241"/>
      <c r="Z397" s="252"/>
    </row>
    <row r="398" spans="3:26" ht="16.5">
      <c r="C398" s="101"/>
      <c r="D398" s="101"/>
      <c r="E398" s="101"/>
      <c r="F398" s="101"/>
      <c r="G398" s="101"/>
      <c r="H398" s="101"/>
      <c r="I398" s="101"/>
      <c r="J398" s="101"/>
      <c r="S398" s="101"/>
      <c r="T398" s="241"/>
      <c r="U398" s="241"/>
      <c r="V398" s="241"/>
      <c r="W398" s="241"/>
      <c r="X398" s="241"/>
      <c r="Y398" s="241"/>
      <c r="Z398" s="252"/>
    </row>
    <row r="399" spans="3:26" ht="16.5">
      <c r="C399" s="101"/>
      <c r="D399" s="101"/>
      <c r="E399" s="101"/>
      <c r="F399" s="101"/>
      <c r="G399" s="101"/>
      <c r="H399" s="101"/>
      <c r="I399" s="101"/>
      <c r="J399" s="101"/>
      <c r="S399" s="101"/>
      <c r="T399" s="241"/>
      <c r="U399" s="241"/>
      <c r="V399" s="241"/>
      <c r="W399" s="241"/>
      <c r="X399" s="241"/>
      <c r="Y399" s="241"/>
      <c r="Z399" s="252"/>
    </row>
    <row r="400" spans="3:26" ht="16.5">
      <c r="C400" s="101"/>
      <c r="D400" s="101"/>
      <c r="E400" s="101"/>
      <c r="F400" s="101"/>
      <c r="G400" s="101"/>
      <c r="H400" s="101"/>
      <c r="I400" s="101"/>
      <c r="J400" s="101"/>
      <c r="S400" s="101"/>
      <c r="T400" s="241"/>
      <c r="U400" s="241"/>
      <c r="V400" s="241"/>
      <c r="W400" s="241"/>
      <c r="X400" s="241"/>
      <c r="Y400" s="241"/>
      <c r="Z400" s="252"/>
    </row>
    <row r="401" spans="3:26" ht="16.5">
      <c r="C401" s="101"/>
      <c r="D401" s="101"/>
      <c r="E401" s="101"/>
      <c r="F401" s="101"/>
      <c r="G401" s="101"/>
      <c r="H401" s="101"/>
      <c r="I401" s="101"/>
      <c r="J401" s="101"/>
      <c r="S401" s="101"/>
      <c r="T401" s="241"/>
      <c r="U401" s="241"/>
      <c r="V401" s="241"/>
      <c r="W401" s="241"/>
      <c r="X401" s="241"/>
      <c r="Y401" s="241"/>
      <c r="Z401" s="252"/>
    </row>
    <row r="402" spans="3:26" ht="16.5">
      <c r="C402" s="101"/>
      <c r="D402" s="101"/>
      <c r="E402" s="101"/>
      <c r="F402" s="101"/>
      <c r="G402" s="101"/>
      <c r="H402" s="101"/>
      <c r="I402" s="101"/>
      <c r="J402" s="101"/>
      <c r="S402" s="101"/>
      <c r="T402" s="241"/>
      <c r="U402" s="241"/>
      <c r="V402" s="241"/>
      <c r="W402" s="241"/>
      <c r="X402" s="241"/>
      <c r="Y402" s="241"/>
      <c r="Z402" s="252"/>
    </row>
    <row r="403" spans="3:26" ht="16.5">
      <c r="C403" s="101"/>
      <c r="D403" s="101"/>
      <c r="E403" s="101"/>
      <c r="F403" s="101"/>
      <c r="G403" s="101"/>
      <c r="H403" s="101"/>
      <c r="I403" s="101"/>
      <c r="J403" s="101"/>
      <c r="S403" s="101"/>
      <c r="T403" s="241"/>
      <c r="U403" s="241"/>
      <c r="V403" s="241"/>
      <c r="W403" s="241"/>
      <c r="X403" s="241"/>
      <c r="Y403" s="241"/>
      <c r="Z403" s="252"/>
    </row>
    <row r="404" spans="3:26" ht="16.5">
      <c r="C404" s="101"/>
      <c r="D404" s="101"/>
      <c r="E404" s="101"/>
      <c r="F404" s="101"/>
      <c r="G404" s="101"/>
      <c r="H404" s="101"/>
      <c r="I404" s="101"/>
      <c r="J404" s="101"/>
      <c r="S404" s="101"/>
      <c r="T404" s="241"/>
      <c r="U404" s="241"/>
      <c r="V404" s="241"/>
      <c r="W404" s="241"/>
      <c r="X404" s="241"/>
      <c r="Y404" s="241"/>
      <c r="Z404" s="252"/>
    </row>
    <row r="405" spans="3:26" ht="16.5">
      <c r="C405" s="101"/>
      <c r="D405" s="101"/>
      <c r="E405" s="101"/>
      <c r="F405" s="101"/>
      <c r="G405" s="101"/>
      <c r="H405" s="101"/>
      <c r="I405" s="101"/>
      <c r="J405" s="101"/>
      <c r="S405" s="101"/>
      <c r="T405" s="241"/>
      <c r="U405" s="241"/>
      <c r="V405" s="241"/>
      <c r="W405" s="241"/>
      <c r="X405" s="241"/>
      <c r="Y405" s="241"/>
      <c r="Z405" s="252"/>
    </row>
    <row r="406" spans="3:26" ht="16.5">
      <c r="C406" s="101"/>
      <c r="D406" s="101"/>
      <c r="E406" s="101"/>
      <c r="F406" s="101"/>
      <c r="G406" s="101"/>
      <c r="H406" s="101"/>
      <c r="I406" s="101"/>
      <c r="J406" s="101"/>
      <c r="S406" s="101"/>
      <c r="T406" s="241"/>
      <c r="U406" s="241"/>
      <c r="V406" s="241"/>
      <c r="W406" s="241"/>
      <c r="X406" s="241"/>
      <c r="Y406" s="241"/>
      <c r="Z406" s="252"/>
    </row>
    <row r="407" spans="3:26" ht="16.5">
      <c r="C407" s="101"/>
      <c r="D407" s="101"/>
      <c r="E407" s="101"/>
      <c r="F407" s="101"/>
      <c r="G407" s="101"/>
      <c r="H407" s="101"/>
      <c r="I407" s="101"/>
      <c r="J407" s="101"/>
      <c r="S407" s="101"/>
      <c r="T407" s="241"/>
      <c r="U407" s="241"/>
      <c r="V407" s="241"/>
      <c r="W407" s="241"/>
      <c r="X407" s="241"/>
      <c r="Y407" s="241"/>
      <c r="Z407" s="252"/>
    </row>
    <row r="408" spans="3:26" ht="16.5">
      <c r="C408" s="101"/>
      <c r="D408" s="101"/>
      <c r="E408" s="101"/>
      <c r="F408" s="101"/>
      <c r="G408" s="101"/>
      <c r="H408" s="101"/>
      <c r="I408" s="101"/>
      <c r="J408" s="101"/>
      <c r="S408" s="101"/>
      <c r="T408" s="241"/>
      <c r="U408" s="241"/>
      <c r="V408" s="241"/>
      <c r="W408" s="241"/>
      <c r="X408" s="241"/>
      <c r="Y408" s="241"/>
      <c r="Z408" s="252"/>
    </row>
    <row r="409" spans="3:26" ht="16.5">
      <c r="C409" s="101"/>
      <c r="D409" s="101"/>
      <c r="E409" s="101"/>
      <c r="F409" s="101"/>
      <c r="G409" s="101"/>
      <c r="H409" s="101"/>
      <c r="I409" s="101"/>
      <c r="J409" s="101"/>
      <c r="S409" s="101"/>
      <c r="T409" s="241"/>
      <c r="U409" s="241"/>
      <c r="V409" s="241"/>
      <c r="W409" s="241"/>
      <c r="X409" s="241"/>
      <c r="Y409" s="241"/>
      <c r="Z409" s="252"/>
    </row>
    <row r="410" spans="3:26" ht="16.5">
      <c r="C410" s="101"/>
      <c r="D410" s="101"/>
      <c r="E410" s="101"/>
      <c r="F410" s="101"/>
      <c r="G410" s="101"/>
      <c r="H410" s="101"/>
      <c r="I410" s="101"/>
      <c r="J410" s="101"/>
      <c r="S410" s="101"/>
      <c r="T410" s="241"/>
      <c r="U410" s="241"/>
      <c r="V410" s="241"/>
      <c r="W410" s="241"/>
      <c r="X410" s="241"/>
      <c r="Y410" s="241"/>
      <c r="Z410" s="252"/>
    </row>
    <row r="411" spans="3:26" ht="16.5">
      <c r="C411" s="101"/>
      <c r="D411" s="101"/>
      <c r="E411" s="101"/>
      <c r="F411" s="101"/>
      <c r="G411" s="101"/>
      <c r="H411" s="101"/>
      <c r="I411" s="101"/>
      <c r="J411" s="101"/>
      <c r="S411" s="101"/>
      <c r="T411" s="241"/>
      <c r="U411" s="241"/>
      <c r="V411" s="241"/>
      <c r="W411" s="241"/>
      <c r="X411" s="241"/>
      <c r="Y411" s="241"/>
      <c r="Z411" s="252"/>
    </row>
    <row r="412" spans="3:26" ht="16.5">
      <c r="C412" s="101"/>
      <c r="D412" s="101"/>
      <c r="E412" s="101"/>
      <c r="F412" s="101"/>
      <c r="G412" s="101"/>
      <c r="H412" s="101"/>
      <c r="I412" s="101"/>
      <c r="J412" s="101"/>
      <c r="S412" s="101"/>
      <c r="T412" s="241"/>
      <c r="U412" s="241"/>
      <c r="V412" s="241"/>
      <c r="W412" s="241"/>
      <c r="X412" s="241"/>
      <c r="Y412" s="241"/>
      <c r="Z412" s="252"/>
    </row>
    <row r="413" spans="3:26" ht="16.5">
      <c r="C413" s="101"/>
      <c r="D413" s="101"/>
      <c r="E413" s="101"/>
      <c r="F413" s="101"/>
      <c r="G413" s="101"/>
      <c r="H413" s="101"/>
      <c r="I413" s="101"/>
      <c r="J413" s="101"/>
      <c r="S413" s="101"/>
      <c r="T413" s="241"/>
      <c r="U413" s="241"/>
      <c r="V413" s="241"/>
      <c r="W413" s="241"/>
      <c r="X413" s="241"/>
      <c r="Y413" s="241"/>
      <c r="Z413" s="252"/>
    </row>
    <row r="414" spans="3:26" ht="16.5">
      <c r="C414" s="101"/>
      <c r="D414" s="101"/>
      <c r="E414" s="101"/>
      <c r="F414" s="101"/>
      <c r="G414" s="101"/>
      <c r="H414" s="101"/>
      <c r="I414" s="101"/>
      <c r="J414" s="101"/>
      <c r="S414" s="101"/>
      <c r="T414" s="241"/>
      <c r="U414" s="241"/>
      <c r="V414" s="241"/>
      <c r="W414" s="241"/>
      <c r="X414" s="241"/>
      <c r="Y414" s="241"/>
      <c r="Z414" s="252"/>
    </row>
    <row r="415" spans="3:26" ht="16.5">
      <c r="C415" s="101"/>
      <c r="D415" s="101"/>
      <c r="E415" s="101"/>
      <c r="F415" s="101"/>
      <c r="G415" s="101"/>
      <c r="H415" s="101"/>
      <c r="I415" s="101"/>
      <c r="J415" s="101"/>
      <c r="S415" s="101"/>
      <c r="T415" s="241"/>
      <c r="U415" s="241"/>
      <c r="V415" s="241"/>
      <c r="W415" s="241"/>
      <c r="X415" s="241"/>
      <c r="Y415" s="241"/>
      <c r="Z415" s="252"/>
    </row>
    <row r="416" spans="3:26" ht="16.5">
      <c r="C416" s="101"/>
      <c r="D416" s="101"/>
      <c r="E416" s="101"/>
      <c r="F416" s="101"/>
      <c r="G416" s="101"/>
      <c r="H416" s="101"/>
      <c r="I416" s="101"/>
      <c r="J416" s="101"/>
      <c r="S416" s="101"/>
      <c r="T416" s="241"/>
      <c r="U416" s="241"/>
      <c r="V416" s="241"/>
      <c r="W416" s="241"/>
      <c r="X416" s="241"/>
      <c r="Y416" s="241"/>
      <c r="Z416" s="252"/>
    </row>
    <row r="417" spans="3:26" ht="16.5">
      <c r="C417" s="101"/>
      <c r="D417" s="101"/>
      <c r="E417" s="101"/>
      <c r="F417" s="101"/>
      <c r="G417" s="101"/>
      <c r="H417" s="101"/>
      <c r="I417" s="101"/>
      <c r="J417" s="101"/>
      <c r="S417" s="101"/>
      <c r="T417" s="241"/>
      <c r="U417" s="241"/>
      <c r="V417" s="241"/>
      <c r="W417" s="241"/>
      <c r="X417" s="241"/>
      <c r="Y417" s="241"/>
      <c r="Z417" s="252"/>
    </row>
    <row r="418" spans="3:26" ht="16.5">
      <c r="C418" s="101"/>
      <c r="D418" s="101"/>
      <c r="E418" s="101"/>
      <c r="F418" s="101"/>
      <c r="G418" s="101"/>
      <c r="H418" s="101"/>
      <c r="I418" s="101"/>
      <c r="J418" s="101"/>
      <c r="S418" s="101"/>
      <c r="T418" s="241"/>
      <c r="U418" s="241"/>
      <c r="V418" s="241"/>
      <c r="W418" s="241"/>
      <c r="X418" s="241"/>
      <c r="Y418" s="241"/>
      <c r="Z418" s="252"/>
    </row>
    <row r="419" spans="3:26" ht="16.5">
      <c r="C419" s="101"/>
      <c r="D419" s="101"/>
      <c r="E419" s="101"/>
      <c r="F419" s="101"/>
      <c r="G419" s="101"/>
      <c r="H419" s="101"/>
      <c r="I419" s="101"/>
      <c r="J419" s="101"/>
      <c r="S419" s="101"/>
      <c r="T419" s="241"/>
      <c r="U419" s="241"/>
      <c r="V419" s="241"/>
      <c r="W419" s="241"/>
      <c r="X419" s="241"/>
      <c r="Y419" s="241"/>
      <c r="Z419" s="252"/>
    </row>
    <row r="420" spans="3:26" ht="16.5">
      <c r="C420" s="101"/>
      <c r="D420" s="101"/>
      <c r="E420" s="101"/>
      <c r="F420" s="101"/>
      <c r="G420" s="101"/>
      <c r="H420" s="101"/>
      <c r="I420" s="101"/>
      <c r="J420" s="101"/>
      <c r="S420" s="101"/>
      <c r="T420" s="241"/>
      <c r="U420" s="241"/>
      <c r="V420" s="241"/>
      <c r="W420" s="241"/>
      <c r="X420" s="241"/>
      <c r="Y420" s="241"/>
      <c r="Z420" s="252"/>
    </row>
    <row r="421" spans="3:26" ht="16.5">
      <c r="C421" s="101"/>
      <c r="D421" s="101"/>
      <c r="E421" s="101"/>
      <c r="F421" s="101"/>
      <c r="G421" s="101"/>
      <c r="H421" s="101"/>
      <c r="I421" s="101"/>
      <c r="J421" s="101"/>
      <c r="S421" s="101"/>
      <c r="T421" s="241"/>
      <c r="U421" s="241"/>
      <c r="V421" s="241"/>
      <c r="W421" s="241"/>
      <c r="X421" s="241"/>
      <c r="Y421" s="241"/>
      <c r="Z421" s="252"/>
    </row>
    <row r="422" spans="3:26" ht="16.5">
      <c r="C422" s="101"/>
      <c r="D422" s="101"/>
      <c r="E422" s="101"/>
      <c r="F422" s="101"/>
      <c r="G422" s="101"/>
      <c r="H422" s="101"/>
      <c r="I422" s="101"/>
      <c r="J422" s="101"/>
      <c r="S422" s="101"/>
      <c r="T422" s="241"/>
      <c r="U422" s="241"/>
      <c r="V422" s="241"/>
      <c r="W422" s="241"/>
      <c r="X422" s="241"/>
      <c r="Y422" s="241"/>
      <c r="Z422" s="252"/>
    </row>
    <row r="423" spans="3:26" ht="16.5">
      <c r="C423" s="101"/>
      <c r="D423" s="101"/>
      <c r="E423" s="101"/>
      <c r="F423" s="101"/>
      <c r="G423" s="101"/>
      <c r="H423" s="101"/>
      <c r="I423" s="101"/>
      <c r="J423" s="101"/>
      <c r="S423" s="101"/>
      <c r="T423" s="241"/>
      <c r="U423" s="241"/>
      <c r="V423" s="241"/>
      <c r="W423" s="241"/>
      <c r="X423" s="241"/>
      <c r="Y423" s="241"/>
      <c r="Z423" s="252"/>
    </row>
    <row r="424" spans="3:26" ht="16.5">
      <c r="C424" s="101"/>
      <c r="D424" s="101"/>
      <c r="E424" s="101"/>
      <c r="F424" s="101"/>
      <c r="G424" s="101"/>
      <c r="H424" s="101"/>
      <c r="I424" s="101"/>
      <c r="J424" s="101"/>
      <c r="S424" s="101"/>
      <c r="T424" s="241"/>
      <c r="U424" s="241"/>
      <c r="V424" s="241"/>
      <c r="W424" s="241"/>
      <c r="X424" s="241"/>
      <c r="Y424" s="241"/>
      <c r="Z424" s="252"/>
    </row>
    <row r="425" spans="3:26" ht="16.5">
      <c r="C425" s="101"/>
      <c r="D425" s="101"/>
      <c r="E425" s="101"/>
      <c r="F425" s="101"/>
      <c r="G425" s="101"/>
      <c r="H425" s="101"/>
      <c r="I425" s="101"/>
      <c r="J425" s="101"/>
      <c r="S425" s="101"/>
      <c r="T425" s="241"/>
      <c r="U425" s="241"/>
      <c r="V425" s="241"/>
      <c r="W425" s="241"/>
      <c r="X425" s="241"/>
      <c r="Y425" s="241"/>
      <c r="Z425" s="252"/>
    </row>
    <row r="426" spans="3:26" ht="16.5">
      <c r="C426" s="101"/>
      <c r="D426" s="101"/>
      <c r="E426" s="101"/>
      <c r="F426" s="101"/>
      <c r="G426" s="101"/>
      <c r="H426" s="101"/>
      <c r="I426" s="101"/>
      <c r="J426" s="101"/>
      <c r="S426" s="101"/>
      <c r="T426" s="241"/>
      <c r="U426" s="241"/>
      <c r="V426" s="241"/>
      <c r="W426" s="241"/>
      <c r="X426" s="241"/>
      <c r="Y426" s="241"/>
      <c r="Z426" s="252"/>
    </row>
    <row r="427" spans="3:26" ht="16.5">
      <c r="C427" s="101"/>
      <c r="D427" s="101"/>
      <c r="E427" s="101"/>
      <c r="F427" s="101"/>
      <c r="G427" s="101"/>
      <c r="H427" s="101"/>
      <c r="I427" s="101"/>
      <c r="J427" s="101"/>
      <c r="S427" s="101"/>
      <c r="T427" s="241"/>
      <c r="U427" s="241"/>
      <c r="V427" s="241"/>
      <c r="W427" s="241"/>
      <c r="X427" s="241"/>
      <c r="Y427" s="241"/>
      <c r="Z427" s="252"/>
    </row>
    <row r="428" spans="3:26" ht="16.5">
      <c r="C428" s="101"/>
      <c r="D428" s="101"/>
      <c r="E428" s="101"/>
      <c r="F428" s="101"/>
      <c r="G428" s="101"/>
      <c r="H428" s="101"/>
      <c r="I428" s="101"/>
      <c r="J428" s="101"/>
      <c r="S428" s="101"/>
      <c r="T428" s="241"/>
      <c r="U428" s="241"/>
      <c r="V428" s="241"/>
      <c r="W428" s="241"/>
      <c r="X428" s="241"/>
      <c r="Y428" s="241"/>
      <c r="Z428" s="252"/>
    </row>
    <row r="429" spans="3:26" ht="16.5">
      <c r="C429" s="101"/>
      <c r="D429" s="101"/>
      <c r="E429" s="101"/>
      <c r="F429" s="101"/>
      <c r="G429" s="101"/>
      <c r="H429" s="101"/>
      <c r="I429" s="101"/>
      <c r="J429" s="101"/>
      <c r="S429" s="101"/>
      <c r="T429" s="241"/>
      <c r="U429" s="241"/>
      <c r="V429" s="241"/>
      <c r="W429" s="241"/>
      <c r="X429" s="241"/>
      <c r="Y429" s="241"/>
      <c r="Z429" s="252"/>
    </row>
    <row r="430" spans="3:26" ht="16.5">
      <c r="C430" s="101"/>
      <c r="D430" s="101"/>
      <c r="E430" s="101"/>
      <c r="F430" s="101"/>
      <c r="G430" s="101"/>
      <c r="H430" s="101"/>
      <c r="I430" s="101"/>
      <c r="J430" s="101"/>
      <c r="S430" s="101"/>
      <c r="T430" s="241"/>
      <c r="U430" s="241"/>
      <c r="V430" s="241"/>
      <c r="W430" s="241"/>
      <c r="X430" s="241"/>
      <c r="Y430" s="241"/>
      <c r="Z430" s="252"/>
    </row>
    <row r="431" spans="3:26" ht="16.5">
      <c r="C431" s="101"/>
      <c r="D431" s="101"/>
      <c r="E431" s="101"/>
      <c r="F431" s="101"/>
      <c r="G431" s="101"/>
      <c r="H431" s="101"/>
      <c r="I431" s="101"/>
      <c r="J431" s="101"/>
      <c r="S431" s="101"/>
      <c r="T431" s="241"/>
      <c r="U431" s="241"/>
      <c r="V431" s="241"/>
      <c r="W431" s="241"/>
      <c r="X431" s="241"/>
      <c r="Y431" s="241"/>
      <c r="Z431" s="252"/>
    </row>
    <row r="432" spans="3:26" ht="16.5">
      <c r="C432" s="101"/>
      <c r="D432" s="101"/>
      <c r="E432" s="101"/>
      <c r="F432" s="101"/>
      <c r="G432" s="101"/>
      <c r="H432" s="101"/>
      <c r="I432" s="101"/>
      <c r="J432" s="101"/>
      <c r="S432" s="101"/>
      <c r="T432" s="241"/>
      <c r="U432" s="241"/>
      <c r="V432" s="241"/>
      <c r="W432" s="241"/>
      <c r="X432" s="241"/>
      <c r="Y432" s="241"/>
      <c r="Z432" s="252"/>
    </row>
    <row r="433" spans="3:26" ht="16.5">
      <c r="C433" s="101"/>
      <c r="D433" s="101"/>
      <c r="E433" s="101"/>
      <c r="F433" s="101"/>
      <c r="G433" s="101"/>
      <c r="H433" s="101"/>
      <c r="I433" s="101"/>
      <c r="J433" s="101"/>
      <c r="S433" s="101"/>
      <c r="T433" s="241"/>
      <c r="U433" s="241"/>
      <c r="V433" s="241"/>
      <c r="W433" s="241"/>
      <c r="X433" s="241"/>
      <c r="Y433" s="241"/>
      <c r="Z433" s="252"/>
    </row>
    <row r="434" spans="3:26" ht="16.5">
      <c r="C434" s="101"/>
      <c r="D434" s="101"/>
      <c r="E434" s="101"/>
      <c r="F434" s="101"/>
      <c r="G434" s="101"/>
      <c r="H434" s="101"/>
      <c r="I434" s="101"/>
      <c r="J434" s="101"/>
      <c r="S434" s="101"/>
      <c r="T434" s="241"/>
      <c r="U434" s="241"/>
      <c r="V434" s="241"/>
      <c r="W434" s="241"/>
      <c r="X434" s="241"/>
      <c r="Y434" s="241"/>
      <c r="Z434" s="252"/>
    </row>
    <row r="435" spans="3:26" ht="16.5">
      <c r="C435" s="101"/>
      <c r="D435" s="101"/>
      <c r="E435" s="101"/>
      <c r="F435" s="101"/>
      <c r="G435" s="101"/>
      <c r="H435" s="101"/>
      <c r="I435" s="101"/>
      <c r="J435" s="101"/>
      <c r="S435" s="101"/>
      <c r="T435" s="241"/>
      <c r="U435" s="241"/>
      <c r="V435" s="241"/>
      <c r="W435" s="241"/>
      <c r="X435" s="241"/>
      <c r="Y435" s="241"/>
      <c r="Z435" s="252"/>
    </row>
    <row r="436" spans="3:26" ht="16.5">
      <c r="C436" s="101"/>
      <c r="D436" s="101"/>
      <c r="E436" s="101"/>
      <c r="F436" s="101"/>
      <c r="G436" s="101"/>
      <c r="H436" s="101"/>
      <c r="I436" s="101"/>
      <c r="J436" s="101"/>
      <c r="S436" s="101"/>
      <c r="T436" s="241"/>
      <c r="U436" s="241"/>
      <c r="V436" s="241"/>
      <c r="W436" s="241"/>
      <c r="X436" s="241"/>
      <c r="Y436" s="241"/>
      <c r="Z436" s="252"/>
    </row>
    <row r="437" spans="3:26" ht="16.5">
      <c r="C437" s="101"/>
      <c r="D437" s="101"/>
      <c r="E437" s="101"/>
      <c r="F437" s="101"/>
      <c r="G437" s="101"/>
      <c r="H437" s="101"/>
      <c r="I437" s="101"/>
      <c r="J437" s="101"/>
      <c r="S437" s="101"/>
      <c r="T437" s="241"/>
      <c r="U437" s="241"/>
      <c r="V437" s="241"/>
      <c r="W437" s="241"/>
      <c r="X437" s="241"/>
      <c r="Y437" s="241"/>
      <c r="Z437" s="252"/>
    </row>
    <row r="438" spans="3:26" ht="16.5">
      <c r="C438" s="101"/>
      <c r="D438" s="101"/>
      <c r="E438" s="101"/>
      <c r="F438" s="101"/>
      <c r="G438" s="101"/>
      <c r="H438" s="101"/>
      <c r="I438" s="101"/>
      <c r="J438" s="101"/>
      <c r="S438" s="101"/>
      <c r="T438" s="241"/>
      <c r="U438" s="241"/>
      <c r="V438" s="241"/>
      <c r="W438" s="241"/>
      <c r="X438" s="241"/>
      <c r="Y438" s="241"/>
      <c r="Z438" s="252"/>
    </row>
    <row r="439" spans="3:26" ht="16.5">
      <c r="C439" s="101"/>
      <c r="D439" s="101"/>
      <c r="E439" s="101"/>
      <c r="F439" s="101"/>
      <c r="G439" s="101"/>
      <c r="H439" s="101"/>
      <c r="I439" s="101"/>
      <c r="J439" s="101"/>
      <c r="S439" s="101"/>
      <c r="T439" s="241"/>
      <c r="U439" s="241"/>
      <c r="V439" s="241"/>
      <c r="W439" s="241"/>
      <c r="X439" s="241"/>
      <c r="Y439" s="241"/>
      <c r="Z439" s="252"/>
    </row>
    <row r="440" spans="3:26" ht="16.5">
      <c r="C440" s="101"/>
      <c r="D440" s="101"/>
      <c r="E440" s="101"/>
      <c r="F440" s="101"/>
      <c r="G440" s="101"/>
      <c r="H440" s="101"/>
      <c r="I440" s="101"/>
      <c r="J440" s="101"/>
      <c r="S440" s="101"/>
      <c r="T440" s="241"/>
      <c r="U440" s="241"/>
      <c r="V440" s="241"/>
      <c r="W440" s="241"/>
      <c r="X440" s="241"/>
      <c r="Y440" s="241"/>
      <c r="Z440" s="252"/>
    </row>
    <row r="441" spans="3:26" ht="16.5">
      <c r="C441" s="101"/>
      <c r="D441" s="101"/>
      <c r="E441" s="101"/>
      <c r="F441" s="101"/>
      <c r="G441" s="101"/>
      <c r="H441" s="101"/>
      <c r="I441" s="101"/>
      <c r="J441" s="101"/>
      <c r="S441" s="101"/>
      <c r="T441" s="241"/>
      <c r="U441" s="241"/>
      <c r="V441" s="241"/>
      <c r="W441" s="241"/>
      <c r="X441" s="241"/>
      <c r="Y441" s="241"/>
      <c r="Z441" s="252"/>
    </row>
    <row r="442" spans="3:26" ht="16.5">
      <c r="C442" s="101"/>
      <c r="D442" s="101"/>
      <c r="E442" s="101"/>
      <c r="F442" s="101"/>
      <c r="G442" s="101"/>
      <c r="H442" s="101"/>
      <c r="I442" s="101"/>
      <c r="J442" s="101"/>
      <c r="S442" s="101"/>
      <c r="T442" s="241"/>
      <c r="U442" s="241"/>
      <c r="V442" s="241"/>
      <c r="W442" s="241"/>
      <c r="X442" s="241"/>
      <c r="Y442" s="241"/>
      <c r="Z442" s="252"/>
    </row>
    <row r="443" spans="3:26" ht="16.5">
      <c r="C443" s="101"/>
      <c r="D443" s="101"/>
      <c r="E443" s="101"/>
      <c r="F443" s="101"/>
      <c r="G443" s="101"/>
      <c r="H443" s="101"/>
      <c r="I443" s="101"/>
      <c r="J443" s="101"/>
      <c r="S443" s="101"/>
      <c r="T443" s="241"/>
      <c r="U443" s="241"/>
      <c r="V443" s="241"/>
      <c r="W443" s="241"/>
      <c r="X443" s="241"/>
      <c r="Y443" s="241"/>
      <c r="Z443" s="252"/>
    </row>
    <row r="444" spans="3:26" ht="16.5">
      <c r="C444" s="101"/>
      <c r="D444" s="101"/>
      <c r="E444" s="101"/>
      <c r="F444" s="101"/>
      <c r="G444" s="101"/>
      <c r="H444" s="101"/>
      <c r="I444" s="101"/>
      <c r="J444" s="101"/>
      <c r="S444" s="101"/>
      <c r="T444" s="241"/>
      <c r="U444" s="241"/>
      <c r="V444" s="241"/>
      <c r="W444" s="241"/>
      <c r="X444" s="241"/>
      <c r="Y444" s="241"/>
      <c r="Z444" s="252"/>
    </row>
    <row r="445" spans="3:26" ht="16.5">
      <c r="C445" s="101"/>
      <c r="D445" s="101"/>
      <c r="E445" s="101"/>
      <c r="F445" s="101"/>
      <c r="G445" s="101"/>
      <c r="H445" s="101"/>
      <c r="I445" s="101"/>
      <c r="J445" s="101"/>
      <c r="S445" s="101"/>
      <c r="T445" s="241"/>
      <c r="U445" s="241"/>
      <c r="V445" s="241"/>
      <c r="W445" s="241"/>
      <c r="X445" s="241"/>
      <c r="Y445" s="241"/>
      <c r="Z445" s="252"/>
    </row>
    <row r="446" spans="3:26" ht="16.5">
      <c r="C446" s="101"/>
      <c r="D446" s="101"/>
      <c r="E446" s="101"/>
      <c r="F446" s="101"/>
      <c r="G446" s="101"/>
      <c r="H446" s="101"/>
      <c r="I446" s="101"/>
      <c r="J446" s="101"/>
      <c r="S446" s="101"/>
      <c r="T446" s="241"/>
      <c r="U446" s="241"/>
      <c r="V446" s="241"/>
      <c r="W446" s="241"/>
      <c r="X446" s="241"/>
      <c r="Y446" s="241"/>
      <c r="Z446" s="252"/>
    </row>
    <row r="447" spans="3:26" ht="16.5">
      <c r="C447" s="101"/>
      <c r="D447" s="101"/>
      <c r="E447" s="101"/>
      <c r="F447" s="101"/>
      <c r="G447" s="101"/>
      <c r="H447" s="101"/>
      <c r="I447" s="101"/>
      <c r="J447" s="101"/>
      <c r="S447" s="101"/>
      <c r="T447" s="241"/>
      <c r="U447" s="241"/>
      <c r="V447" s="241"/>
      <c r="W447" s="241"/>
      <c r="X447" s="241"/>
      <c r="Y447" s="241"/>
      <c r="Z447" s="252"/>
    </row>
    <row r="448" spans="3:26" ht="16.5">
      <c r="C448" s="101"/>
      <c r="D448" s="101"/>
      <c r="E448" s="101"/>
      <c r="F448" s="101"/>
      <c r="G448" s="101"/>
      <c r="H448" s="101"/>
      <c r="I448" s="101"/>
      <c r="J448" s="101"/>
      <c r="S448" s="101"/>
      <c r="T448" s="241"/>
      <c r="U448" s="241"/>
      <c r="V448" s="241"/>
      <c r="W448" s="241"/>
      <c r="X448" s="241"/>
      <c r="Y448" s="241"/>
      <c r="Z448" s="252"/>
    </row>
    <row r="449" spans="3:26" ht="16.5">
      <c r="C449" s="101"/>
      <c r="D449" s="101"/>
      <c r="E449" s="101"/>
      <c r="F449" s="101"/>
      <c r="G449" s="101"/>
      <c r="H449" s="101"/>
      <c r="I449" s="101"/>
      <c r="J449" s="101"/>
      <c r="S449" s="101"/>
      <c r="T449" s="241"/>
      <c r="U449" s="241"/>
      <c r="V449" s="241"/>
      <c r="W449" s="241"/>
      <c r="X449" s="241"/>
      <c r="Y449" s="241"/>
      <c r="Z449" s="252"/>
    </row>
    <row r="450" spans="3:26" ht="16.5">
      <c r="C450" s="101"/>
      <c r="D450" s="101"/>
      <c r="E450" s="101"/>
      <c r="F450" s="101"/>
      <c r="G450" s="101"/>
      <c r="H450" s="101"/>
      <c r="I450" s="101"/>
      <c r="J450" s="101"/>
      <c r="S450" s="101"/>
      <c r="T450" s="241"/>
      <c r="U450" s="241"/>
      <c r="V450" s="241"/>
      <c r="W450" s="241"/>
      <c r="X450" s="241"/>
      <c r="Y450" s="241"/>
      <c r="Z450" s="252"/>
    </row>
    <row r="451" spans="3:26" ht="16.5">
      <c r="C451" s="101"/>
      <c r="D451" s="101"/>
      <c r="E451" s="101"/>
      <c r="F451" s="101"/>
      <c r="G451" s="101"/>
      <c r="H451" s="101"/>
      <c r="I451" s="101"/>
      <c r="J451" s="101"/>
      <c r="S451" s="101"/>
      <c r="T451" s="241"/>
      <c r="U451" s="241"/>
      <c r="V451" s="241"/>
      <c r="W451" s="241"/>
      <c r="X451" s="241"/>
      <c r="Y451" s="241"/>
      <c r="Z451" s="252"/>
    </row>
    <row r="452" spans="3:26" ht="16.5">
      <c r="C452" s="101"/>
      <c r="D452" s="101"/>
      <c r="E452" s="101"/>
      <c r="F452" s="101"/>
      <c r="G452" s="101"/>
      <c r="H452" s="101"/>
      <c r="I452" s="101"/>
      <c r="J452" s="101"/>
      <c r="S452" s="101"/>
      <c r="T452" s="241"/>
      <c r="U452" s="241"/>
      <c r="V452" s="241"/>
      <c r="W452" s="241"/>
      <c r="X452" s="241"/>
      <c r="Y452" s="241"/>
      <c r="Z452" s="252"/>
    </row>
    <row r="453" spans="3:26" ht="16.5">
      <c r="C453" s="101"/>
      <c r="D453" s="101"/>
      <c r="E453" s="101"/>
      <c r="F453" s="101"/>
      <c r="G453" s="101"/>
      <c r="H453" s="101"/>
      <c r="I453" s="101"/>
      <c r="J453" s="101"/>
      <c r="S453" s="101"/>
      <c r="T453" s="241"/>
      <c r="U453" s="241"/>
      <c r="V453" s="241"/>
      <c r="W453" s="241"/>
      <c r="X453" s="241"/>
      <c r="Y453" s="241"/>
      <c r="Z453" s="252"/>
    </row>
    <row r="454" spans="3:26" ht="16.5">
      <c r="C454" s="101"/>
      <c r="D454" s="101"/>
      <c r="E454" s="101"/>
      <c r="F454" s="101"/>
      <c r="G454" s="101"/>
      <c r="H454" s="101"/>
      <c r="I454" s="101"/>
      <c r="J454" s="101"/>
      <c r="S454" s="101"/>
      <c r="T454" s="241"/>
      <c r="U454" s="241"/>
      <c r="V454" s="241"/>
      <c r="W454" s="241"/>
      <c r="X454" s="241"/>
      <c r="Y454" s="241"/>
      <c r="Z454" s="252"/>
    </row>
    <row r="455" spans="3:26" ht="16.5">
      <c r="C455" s="101"/>
      <c r="D455" s="101"/>
      <c r="E455" s="101"/>
      <c r="F455" s="101"/>
      <c r="G455" s="101"/>
      <c r="H455" s="101"/>
      <c r="I455" s="101"/>
      <c r="J455" s="101"/>
      <c r="S455" s="101"/>
      <c r="T455" s="241"/>
      <c r="U455" s="241"/>
      <c r="V455" s="241"/>
      <c r="W455" s="241"/>
      <c r="X455" s="241"/>
      <c r="Y455" s="241"/>
      <c r="Z455" s="252"/>
    </row>
    <row r="456" spans="3:26" ht="16.5">
      <c r="C456" s="101"/>
      <c r="D456" s="101"/>
      <c r="E456" s="101"/>
      <c r="F456" s="101"/>
      <c r="G456" s="101"/>
      <c r="H456" s="101"/>
      <c r="I456" s="101"/>
      <c r="J456" s="101"/>
      <c r="S456" s="101"/>
      <c r="T456" s="241"/>
      <c r="U456" s="241"/>
      <c r="V456" s="241"/>
      <c r="W456" s="241"/>
      <c r="X456" s="241"/>
      <c r="Y456" s="241"/>
      <c r="Z456" s="252"/>
    </row>
    <row r="457" spans="3:26" ht="16.5">
      <c r="C457" s="101"/>
      <c r="D457" s="101"/>
      <c r="E457" s="101"/>
      <c r="F457" s="101"/>
      <c r="G457" s="101"/>
      <c r="H457" s="101"/>
      <c r="I457" s="101"/>
      <c r="J457" s="101"/>
      <c r="S457" s="101"/>
      <c r="T457" s="241"/>
      <c r="U457" s="241"/>
      <c r="V457" s="241"/>
      <c r="W457" s="241"/>
      <c r="X457" s="241"/>
      <c r="Y457" s="241"/>
      <c r="Z457" s="252"/>
    </row>
    <row r="458" spans="3:26" ht="16.5">
      <c r="C458" s="101"/>
      <c r="D458" s="101"/>
      <c r="E458" s="101"/>
      <c r="F458" s="101"/>
      <c r="G458" s="101"/>
      <c r="H458" s="101"/>
      <c r="I458" s="101"/>
      <c r="J458" s="101"/>
      <c r="S458" s="101"/>
      <c r="T458" s="241"/>
      <c r="U458" s="241"/>
      <c r="V458" s="241"/>
      <c r="W458" s="241"/>
      <c r="X458" s="241"/>
      <c r="Y458" s="241"/>
      <c r="Z458" s="252"/>
    </row>
    <row r="459" spans="3:26" ht="16.5">
      <c r="C459" s="101"/>
      <c r="D459" s="101"/>
      <c r="E459" s="101"/>
      <c r="F459" s="101"/>
      <c r="G459" s="101"/>
      <c r="H459" s="101"/>
      <c r="I459" s="101"/>
      <c r="J459" s="101"/>
      <c r="S459" s="101"/>
      <c r="T459" s="241"/>
      <c r="U459" s="241"/>
      <c r="V459" s="241"/>
      <c r="W459" s="241"/>
      <c r="X459" s="241"/>
      <c r="Y459" s="241"/>
      <c r="Z459" s="252"/>
    </row>
    <row r="460" spans="3:26" ht="16.5">
      <c r="C460" s="101"/>
      <c r="D460" s="101"/>
      <c r="E460" s="101"/>
      <c r="F460" s="101"/>
      <c r="G460" s="101"/>
      <c r="H460" s="101"/>
      <c r="I460" s="101"/>
      <c r="J460" s="101"/>
      <c r="S460" s="101"/>
      <c r="T460" s="241"/>
      <c r="U460" s="241"/>
      <c r="V460" s="241"/>
      <c r="W460" s="241"/>
      <c r="X460" s="241"/>
      <c r="Y460" s="241"/>
      <c r="Z460" s="252"/>
    </row>
    <row r="461" spans="3:26" ht="16.5">
      <c r="C461" s="101"/>
      <c r="D461" s="101"/>
      <c r="E461" s="101"/>
      <c r="F461" s="101"/>
      <c r="G461" s="101"/>
      <c r="H461" s="101"/>
      <c r="I461" s="101"/>
      <c r="J461" s="101"/>
      <c r="S461" s="101"/>
      <c r="T461" s="241"/>
      <c r="U461" s="241"/>
      <c r="V461" s="241"/>
      <c r="W461" s="241"/>
      <c r="X461" s="241"/>
      <c r="Y461" s="241"/>
      <c r="Z461" s="252"/>
    </row>
    <row r="462" spans="3:26" ht="16.5">
      <c r="C462" s="101"/>
      <c r="D462" s="101"/>
      <c r="E462" s="101"/>
      <c r="F462" s="101"/>
      <c r="G462" s="101"/>
      <c r="H462" s="101"/>
      <c r="I462" s="101"/>
      <c r="J462" s="101"/>
      <c r="S462" s="101"/>
      <c r="T462" s="241"/>
      <c r="U462" s="241"/>
      <c r="V462" s="241"/>
      <c r="W462" s="241"/>
      <c r="X462" s="241"/>
      <c r="Y462" s="241"/>
      <c r="Z462" s="252"/>
    </row>
    <row r="463" spans="3:26" ht="16.5">
      <c r="C463" s="101"/>
      <c r="D463" s="101"/>
      <c r="E463" s="101"/>
      <c r="F463" s="101"/>
      <c r="G463" s="101"/>
      <c r="H463" s="101"/>
      <c r="I463" s="101"/>
      <c r="J463" s="101"/>
      <c r="S463" s="101"/>
      <c r="T463" s="241"/>
      <c r="U463" s="241"/>
      <c r="V463" s="241"/>
      <c r="W463" s="241"/>
      <c r="X463" s="241"/>
      <c r="Y463" s="241"/>
      <c r="Z463" s="252"/>
    </row>
    <row r="464" spans="3:26" ht="16.5">
      <c r="C464" s="101"/>
      <c r="D464" s="101"/>
      <c r="E464" s="101"/>
      <c r="F464" s="101"/>
      <c r="G464" s="101"/>
      <c r="H464" s="101"/>
      <c r="I464" s="101"/>
      <c r="J464" s="101"/>
      <c r="S464" s="101"/>
      <c r="T464" s="241"/>
      <c r="U464" s="241"/>
      <c r="V464" s="241"/>
      <c r="W464" s="241"/>
      <c r="X464" s="241"/>
      <c r="Y464" s="241"/>
      <c r="Z464" s="252"/>
    </row>
    <row r="465" spans="3:26" ht="16.5">
      <c r="C465" s="101"/>
      <c r="D465" s="101"/>
      <c r="E465" s="101"/>
      <c r="F465" s="101"/>
      <c r="G465" s="101"/>
      <c r="H465" s="101"/>
      <c r="I465" s="101"/>
      <c r="J465" s="101"/>
      <c r="S465" s="101"/>
      <c r="T465" s="241"/>
      <c r="U465" s="241"/>
      <c r="V465" s="241"/>
      <c r="W465" s="241"/>
      <c r="X465" s="241"/>
      <c r="Y465" s="241"/>
      <c r="Z465" s="252"/>
    </row>
    <row r="466" spans="3:26" ht="16.5">
      <c r="C466" s="101"/>
      <c r="D466" s="101"/>
      <c r="E466" s="101"/>
      <c r="F466" s="101"/>
      <c r="G466" s="101"/>
      <c r="H466" s="101"/>
      <c r="I466" s="101"/>
      <c r="J466" s="101"/>
      <c r="S466" s="101"/>
      <c r="T466" s="241"/>
      <c r="U466" s="241"/>
      <c r="V466" s="241"/>
      <c r="W466" s="241"/>
      <c r="X466" s="241"/>
      <c r="Y466" s="241"/>
      <c r="Z466" s="252"/>
    </row>
    <row r="467" spans="3:26" ht="16.5">
      <c r="C467" s="101"/>
      <c r="D467" s="101"/>
      <c r="E467" s="101"/>
      <c r="F467" s="101"/>
      <c r="G467" s="101"/>
      <c r="H467" s="101"/>
      <c r="I467" s="101"/>
      <c r="J467" s="101"/>
      <c r="S467" s="101"/>
      <c r="T467" s="241"/>
      <c r="U467" s="241"/>
      <c r="V467" s="241"/>
      <c r="W467" s="241"/>
      <c r="X467" s="241"/>
      <c r="Y467" s="241"/>
      <c r="Z467" s="252"/>
    </row>
    <row r="468" spans="3:26" ht="16.5">
      <c r="C468" s="101"/>
      <c r="D468" s="101"/>
      <c r="E468" s="101"/>
      <c r="F468" s="101"/>
      <c r="G468" s="101"/>
      <c r="H468" s="101"/>
      <c r="I468" s="101"/>
      <c r="J468" s="101"/>
      <c r="S468" s="101"/>
      <c r="T468" s="241"/>
      <c r="U468" s="241"/>
      <c r="V468" s="241"/>
      <c r="W468" s="241"/>
      <c r="X468" s="241"/>
      <c r="Y468" s="241"/>
      <c r="Z468" s="252"/>
    </row>
    <row r="469" spans="3:26" ht="16.5">
      <c r="C469" s="101"/>
      <c r="D469" s="101"/>
      <c r="E469" s="101"/>
      <c r="F469" s="101"/>
      <c r="G469" s="101"/>
      <c r="H469" s="101"/>
      <c r="I469" s="101"/>
      <c r="J469" s="101"/>
      <c r="S469" s="101"/>
      <c r="T469" s="241"/>
      <c r="U469" s="241"/>
      <c r="V469" s="241"/>
      <c r="W469" s="241"/>
      <c r="X469" s="241"/>
      <c r="Y469" s="241"/>
      <c r="Z469" s="252"/>
    </row>
    <row r="470" spans="3:26" ht="16.5">
      <c r="C470" s="101"/>
      <c r="D470" s="101"/>
      <c r="E470" s="101"/>
      <c r="F470" s="101"/>
      <c r="G470" s="101"/>
      <c r="H470" s="101"/>
      <c r="I470" s="101"/>
      <c r="J470" s="101"/>
      <c r="S470" s="101"/>
      <c r="T470" s="241"/>
      <c r="U470" s="241"/>
      <c r="V470" s="241"/>
      <c r="W470" s="241"/>
      <c r="X470" s="241"/>
      <c r="Y470" s="241"/>
      <c r="Z470" s="252"/>
    </row>
    <row r="471" spans="3:26" ht="16.5">
      <c r="C471" s="101"/>
      <c r="D471" s="101"/>
      <c r="E471" s="101"/>
      <c r="F471" s="101"/>
      <c r="G471" s="101"/>
      <c r="H471" s="101"/>
      <c r="I471" s="101"/>
      <c r="J471" s="101"/>
      <c r="S471" s="101"/>
      <c r="T471" s="241"/>
      <c r="U471" s="241"/>
      <c r="V471" s="241"/>
      <c r="W471" s="241"/>
      <c r="X471" s="241"/>
      <c r="Y471" s="241"/>
      <c r="Z471" s="252"/>
    </row>
    <row r="472" spans="3:26" ht="16.5">
      <c r="C472" s="101"/>
      <c r="D472" s="101"/>
      <c r="E472" s="101"/>
      <c r="F472" s="101"/>
      <c r="G472" s="101"/>
      <c r="H472" s="101"/>
      <c r="I472" s="101"/>
      <c r="J472" s="101"/>
      <c r="S472" s="101"/>
      <c r="T472" s="241"/>
      <c r="U472" s="241"/>
      <c r="V472" s="241"/>
      <c r="W472" s="241"/>
      <c r="X472" s="241"/>
      <c r="Y472" s="241"/>
      <c r="Z472" s="252"/>
    </row>
    <row r="473" spans="3:26" ht="16.5">
      <c r="C473" s="101"/>
      <c r="D473" s="101"/>
      <c r="E473" s="101"/>
      <c r="F473" s="101"/>
      <c r="G473" s="101"/>
      <c r="H473" s="101"/>
      <c r="I473" s="101"/>
      <c r="J473" s="101"/>
      <c r="S473" s="101"/>
      <c r="T473" s="241"/>
      <c r="U473" s="241"/>
      <c r="V473" s="241"/>
      <c r="W473" s="241"/>
      <c r="X473" s="241"/>
      <c r="Y473" s="241"/>
      <c r="Z473" s="252"/>
    </row>
    <row r="474" spans="3:26" ht="16.5">
      <c r="C474" s="101"/>
      <c r="D474" s="101"/>
      <c r="E474" s="101"/>
      <c r="F474" s="101"/>
      <c r="G474" s="101"/>
      <c r="H474" s="101"/>
      <c r="I474" s="101"/>
      <c r="J474" s="101"/>
      <c r="S474" s="101"/>
      <c r="T474" s="241"/>
      <c r="U474" s="241"/>
      <c r="V474" s="241"/>
      <c r="W474" s="241"/>
      <c r="X474" s="241"/>
      <c r="Y474" s="241"/>
      <c r="Z474" s="252"/>
    </row>
    <row r="475" spans="3:26" ht="16.5">
      <c r="C475" s="101"/>
      <c r="D475" s="101"/>
      <c r="E475" s="101"/>
      <c r="F475" s="101"/>
      <c r="G475" s="101"/>
      <c r="H475" s="101"/>
      <c r="I475" s="101"/>
      <c r="J475" s="101"/>
      <c r="S475" s="101"/>
      <c r="T475" s="241"/>
      <c r="U475" s="241"/>
      <c r="V475" s="241"/>
      <c r="W475" s="241"/>
      <c r="X475" s="241"/>
      <c r="Y475" s="241"/>
      <c r="Z475" s="252"/>
    </row>
    <row r="476" spans="3:26" ht="16.5">
      <c r="C476" s="101"/>
      <c r="D476" s="101"/>
      <c r="E476" s="101"/>
      <c r="F476" s="101"/>
      <c r="G476" s="101"/>
      <c r="H476" s="101"/>
      <c r="I476" s="101"/>
      <c r="J476" s="101"/>
      <c r="S476" s="101"/>
      <c r="T476" s="241"/>
      <c r="U476" s="241"/>
      <c r="V476" s="241"/>
      <c r="W476" s="241"/>
      <c r="X476" s="241"/>
      <c r="Y476" s="241"/>
      <c r="Z476" s="252"/>
    </row>
    <row r="477" spans="3:26" ht="16.5">
      <c r="C477" s="101"/>
      <c r="D477" s="101"/>
      <c r="E477" s="101"/>
      <c r="F477" s="101"/>
      <c r="G477" s="101"/>
      <c r="H477" s="101"/>
      <c r="I477" s="101"/>
      <c r="J477" s="101"/>
      <c r="S477" s="101"/>
      <c r="T477" s="241"/>
      <c r="U477" s="241"/>
      <c r="V477" s="241"/>
      <c r="W477" s="241"/>
      <c r="X477" s="241"/>
      <c r="Y477" s="241"/>
      <c r="Z477" s="252"/>
    </row>
    <row r="478" spans="3:26" ht="16.5">
      <c r="C478" s="101"/>
      <c r="D478" s="101"/>
      <c r="E478" s="101"/>
      <c r="F478" s="101"/>
      <c r="G478" s="101"/>
      <c r="H478" s="101"/>
      <c r="I478" s="101"/>
      <c r="J478" s="101"/>
      <c r="S478" s="101"/>
      <c r="T478" s="241"/>
      <c r="U478" s="241"/>
      <c r="V478" s="241"/>
      <c r="W478" s="241"/>
      <c r="X478" s="241"/>
      <c r="Y478" s="241"/>
      <c r="Z478" s="252"/>
    </row>
    <row r="479" spans="3:26" ht="16.5">
      <c r="C479" s="101"/>
      <c r="D479" s="101"/>
      <c r="E479" s="101"/>
      <c r="F479" s="101"/>
      <c r="G479" s="101"/>
      <c r="H479" s="101"/>
      <c r="I479" s="101"/>
      <c r="J479" s="101"/>
      <c r="S479" s="101"/>
      <c r="T479" s="241"/>
      <c r="U479" s="241"/>
      <c r="V479" s="241"/>
      <c r="W479" s="241"/>
      <c r="X479" s="241"/>
      <c r="Y479" s="241"/>
      <c r="Z479" s="252"/>
    </row>
    <row r="480" spans="3:26" ht="16.5">
      <c r="C480" s="101"/>
      <c r="D480" s="101"/>
      <c r="E480" s="101"/>
      <c r="F480" s="101"/>
      <c r="G480" s="101"/>
      <c r="H480" s="101"/>
      <c r="I480" s="101"/>
      <c r="J480" s="101"/>
      <c r="S480" s="101"/>
      <c r="T480" s="241"/>
      <c r="U480" s="241"/>
      <c r="V480" s="241"/>
      <c r="W480" s="241"/>
      <c r="X480" s="241"/>
      <c r="Y480" s="241"/>
      <c r="Z480" s="252"/>
    </row>
    <row r="481" spans="3:26" ht="16.5">
      <c r="C481" s="101"/>
      <c r="D481" s="101"/>
      <c r="E481" s="101"/>
      <c r="F481" s="101"/>
      <c r="G481" s="101"/>
      <c r="H481" s="101"/>
      <c r="I481" s="101"/>
      <c r="J481" s="101"/>
      <c r="S481" s="101"/>
      <c r="T481" s="241"/>
      <c r="U481" s="241"/>
      <c r="V481" s="241"/>
      <c r="W481" s="241"/>
      <c r="X481" s="241"/>
      <c r="Y481" s="241"/>
      <c r="Z481" s="252"/>
    </row>
    <row r="482" spans="3:26" ht="16.5">
      <c r="C482" s="101"/>
      <c r="D482" s="101"/>
      <c r="E482" s="101"/>
      <c r="F482" s="101"/>
      <c r="G482" s="101"/>
      <c r="H482" s="101"/>
      <c r="I482" s="101"/>
      <c r="J482" s="101"/>
      <c r="S482" s="101"/>
      <c r="T482" s="241"/>
      <c r="U482" s="241"/>
      <c r="V482" s="241"/>
      <c r="W482" s="241"/>
      <c r="X482" s="241"/>
      <c r="Y482" s="241"/>
      <c r="Z482" s="252"/>
    </row>
    <row r="483" spans="3:26" ht="16.5">
      <c r="C483" s="101"/>
      <c r="D483" s="101"/>
      <c r="E483" s="101"/>
      <c r="F483" s="101"/>
      <c r="G483" s="101"/>
      <c r="H483" s="101"/>
      <c r="I483" s="101"/>
      <c r="J483" s="101"/>
      <c r="S483" s="101"/>
      <c r="T483" s="241"/>
      <c r="U483" s="241"/>
      <c r="V483" s="241"/>
      <c r="W483" s="241"/>
      <c r="X483" s="241"/>
      <c r="Y483" s="241"/>
      <c r="Z483" s="252"/>
    </row>
    <row r="484" spans="3:26" ht="16.5">
      <c r="C484" s="101"/>
      <c r="D484" s="101"/>
      <c r="E484" s="101"/>
      <c r="F484" s="101"/>
      <c r="G484" s="101"/>
      <c r="H484" s="101"/>
      <c r="I484" s="101"/>
      <c r="J484" s="101"/>
      <c r="S484" s="101"/>
      <c r="T484" s="241"/>
      <c r="U484" s="241"/>
      <c r="V484" s="241"/>
      <c r="W484" s="241"/>
      <c r="X484" s="241"/>
      <c r="Y484" s="241"/>
      <c r="Z484" s="252"/>
    </row>
    <row r="485" spans="3:26" ht="16.5">
      <c r="C485" s="101"/>
      <c r="D485" s="101"/>
      <c r="E485" s="101"/>
      <c r="F485" s="101"/>
      <c r="G485" s="101"/>
      <c r="H485" s="101"/>
      <c r="I485" s="101"/>
      <c r="J485" s="101"/>
      <c r="S485" s="101"/>
      <c r="T485" s="241"/>
      <c r="U485" s="241"/>
      <c r="V485" s="241"/>
      <c r="W485" s="241"/>
      <c r="X485" s="241"/>
      <c r="Y485" s="241"/>
      <c r="Z485" s="252"/>
    </row>
    <row r="486" spans="3:26" ht="16.5">
      <c r="C486" s="101"/>
      <c r="D486" s="101"/>
      <c r="E486" s="101"/>
      <c r="F486" s="101"/>
      <c r="G486" s="101"/>
      <c r="H486" s="101"/>
      <c r="I486" s="101"/>
      <c r="J486" s="101"/>
      <c r="S486" s="101"/>
      <c r="T486" s="241"/>
      <c r="U486" s="241"/>
      <c r="V486" s="241"/>
      <c r="W486" s="241"/>
      <c r="X486" s="241"/>
      <c r="Y486" s="241"/>
      <c r="Z486" s="252"/>
    </row>
    <row r="487" spans="3:26" ht="16.5">
      <c r="C487" s="101"/>
      <c r="D487" s="101"/>
      <c r="E487" s="101"/>
      <c r="F487" s="101"/>
      <c r="G487" s="101"/>
      <c r="H487" s="101"/>
      <c r="I487" s="101"/>
      <c r="J487" s="101"/>
      <c r="S487" s="101"/>
      <c r="T487" s="241"/>
      <c r="U487" s="241"/>
      <c r="V487" s="241"/>
      <c r="W487" s="241"/>
      <c r="X487" s="241"/>
      <c r="Y487" s="241"/>
      <c r="Z487" s="252"/>
    </row>
    <row r="488" spans="3:26" ht="16.5">
      <c r="C488" s="101"/>
      <c r="D488" s="101"/>
      <c r="E488" s="101"/>
      <c r="F488" s="101"/>
      <c r="G488" s="101"/>
      <c r="H488" s="101"/>
      <c r="I488" s="101"/>
      <c r="J488" s="101"/>
      <c r="S488" s="101"/>
      <c r="T488" s="241"/>
      <c r="U488" s="241"/>
      <c r="V488" s="241"/>
      <c r="W488" s="241"/>
      <c r="X488" s="241"/>
      <c r="Y488" s="241"/>
      <c r="Z488" s="252"/>
    </row>
    <row r="489" spans="3:26" ht="16.5">
      <c r="C489" s="101"/>
      <c r="D489" s="101"/>
      <c r="E489" s="101"/>
      <c r="F489" s="101"/>
      <c r="G489" s="101"/>
      <c r="H489" s="101"/>
      <c r="I489" s="101"/>
      <c r="J489" s="101"/>
      <c r="S489" s="101"/>
      <c r="T489" s="241"/>
      <c r="U489" s="241"/>
      <c r="V489" s="241"/>
      <c r="W489" s="241"/>
      <c r="X489" s="241"/>
      <c r="Y489" s="241"/>
      <c r="Z489" s="252"/>
    </row>
    <row r="490" spans="3:26" ht="16.5">
      <c r="C490" s="101"/>
      <c r="D490" s="101"/>
      <c r="E490" s="101"/>
      <c r="F490" s="101"/>
      <c r="G490" s="101"/>
      <c r="H490" s="101"/>
      <c r="I490" s="101"/>
      <c r="J490" s="101"/>
      <c r="S490" s="101"/>
      <c r="T490" s="241"/>
      <c r="U490" s="241"/>
      <c r="V490" s="241"/>
      <c r="W490" s="241"/>
      <c r="X490" s="241"/>
      <c r="Y490" s="241"/>
      <c r="Z490" s="252"/>
    </row>
    <row r="491" spans="3:26" ht="16.5">
      <c r="C491" s="101"/>
      <c r="D491" s="101"/>
      <c r="E491" s="101"/>
      <c r="F491" s="101"/>
      <c r="G491" s="101"/>
      <c r="H491" s="101"/>
      <c r="I491" s="101"/>
      <c r="J491" s="101"/>
      <c r="S491" s="101"/>
      <c r="T491" s="241"/>
      <c r="U491" s="241"/>
      <c r="V491" s="241"/>
      <c r="W491" s="241"/>
      <c r="X491" s="241"/>
      <c r="Y491" s="241"/>
      <c r="Z491" s="252"/>
    </row>
    <row r="492" spans="3:26" ht="16.5">
      <c r="C492" s="101"/>
      <c r="D492" s="101"/>
      <c r="E492" s="101"/>
      <c r="F492" s="101"/>
      <c r="G492" s="101"/>
      <c r="H492" s="101"/>
      <c r="I492" s="101"/>
      <c r="J492" s="101"/>
      <c r="S492" s="101"/>
      <c r="T492" s="241"/>
      <c r="U492" s="241"/>
      <c r="V492" s="241"/>
      <c r="W492" s="241"/>
      <c r="X492" s="241"/>
      <c r="Y492" s="241"/>
      <c r="Z492" s="252"/>
    </row>
    <row r="493" spans="3:26" ht="16.5">
      <c r="C493" s="101"/>
      <c r="D493" s="101"/>
      <c r="E493" s="101"/>
      <c r="F493" s="101"/>
      <c r="G493" s="101"/>
      <c r="H493" s="101"/>
      <c r="I493" s="101"/>
      <c r="J493" s="101"/>
      <c r="S493" s="101"/>
      <c r="T493" s="241"/>
      <c r="U493" s="241"/>
      <c r="V493" s="241"/>
      <c r="W493" s="241"/>
      <c r="X493" s="241"/>
      <c r="Y493" s="241"/>
      <c r="Z493" s="252"/>
    </row>
    <row r="494" spans="3:26" ht="16.5">
      <c r="C494" s="101"/>
      <c r="D494" s="101"/>
      <c r="E494" s="101"/>
      <c r="F494" s="101"/>
      <c r="G494" s="101"/>
      <c r="H494" s="101"/>
      <c r="I494" s="101"/>
      <c r="J494" s="101"/>
      <c r="S494" s="101"/>
      <c r="T494" s="241"/>
      <c r="U494" s="241"/>
      <c r="V494" s="241"/>
      <c r="W494" s="241"/>
      <c r="X494" s="241"/>
      <c r="Y494" s="241"/>
      <c r="Z494" s="252"/>
    </row>
    <row r="495" spans="3:26" ht="16.5">
      <c r="C495" s="101"/>
      <c r="D495" s="101"/>
      <c r="E495" s="101"/>
      <c r="F495" s="101"/>
      <c r="G495" s="101"/>
      <c r="H495" s="101"/>
      <c r="I495" s="101"/>
      <c r="J495" s="101"/>
      <c r="S495" s="101"/>
      <c r="T495" s="241"/>
      <c r="U495" s="241"/>
      <c r="V495" s="241"/>
      <c r="W495" s="241"/>
      <c r="X495" s="241"/>
      <c r="Y495" s="241"/>
      <c r="Z495" s="252"/>
    </row>
    <row r="496" spans="3:26" ht="16.5">
      <c r="C496" s="101"/>
      <c r="D496" s="101"/>
      <c r="E496" s="101"/>
      <c r="F496" s="101"/>
      <c r="G496" s="101"/>
      <c r="H496" s="101"/>
      <c r="I496" s="101"/>
      <c r="J496" s="101"/>
      <c r="S496" s="101"/>
      <c r="T496" s="241"/>
      <c r="U496" s="241"/>
      <c r="V496" s="241"/>
      <c r="W496" s="241"/>
      <c r="X496" s="241"/>
      <c r="Y496" s="241"/>
      <c r="Z496" s="252"/>
    </row>
    <row r="497" spans="3:26" ht="16.5">
      <c r="C497" s="101"/>
      <c r="D497" s="101"/>
      <c r="E497" s="101"/>
      <c r="F497" s="101"/>
      <c r="G497" s="101"/>
      <c r="H497" s="101"/>
      <c r="I497" s="101"/>
      <c r="J497" s="101"/>
      <c r="S497" s="101"/>
      <c r="T497" s="241"/>
      <c r="U497" s="241"/>
      <c r="V497" s="241"/>
      <c r="W497" s="241"/>
      <c r="X497" s="241"/>
      <c r="Y497" s="241"/>
      <c r="Z497" s="252"/>
    </row>
    <row r="498" spans="3:26" ht="16.5">
      <c r="C498" s="101"/>
      <c r="D498" s="101"/>
      <c r="E498" s="101"/>
      <c r="F498" s="101"/>
      <c r="G498" s="101"/>
      <c r="H498" s="101"/>
      <c r="I498" s="101"/>
      <c r="J498" s="101"/>
      <c r="S498" s="101"/>
      <c r="T498" s="241"/>
      <c r="U498" s="241"/>
      <c r="V498" s="241"/>
      <c r="W498" s="241"/>
      <c r="X498" s="241"/>
      <c r="Y498" s="241"/>
      <c r="Z498" s="252"/>
    </row>
    <row r="499" spans="3:26" ht="16.5">
      <c r="C499" s="101"/>
      <c r="D499" s="101"/>
      <c r="E499" s="101"/>
      <c r="F499" s="101"/>
      <c r="G499" s="101"/>
      <c r="H499" s="101"/>
      <c r="I499" s="101"/>
      <c r="J499" s="101"/>
      <c r="S499" s="101"/>
      <c r="T499" s="241"/>
      <c r="U499" s="241"/>
      <c r="V499" s="241"/>
      <c r="W499" s="241"/>
      <c r="X499" s="241"/>
      <c r="Y499" s="241"/>
      <c r="Z499" s="252"/>
    </row>
    <row r="500" spans="3:26" ht="16.5">
      <c r="C500" s="101"/>
      <c r="D500" s="101"/>
      <c r="E500" s="101"/>
      <c r="F500" s="101"/>
      <c r="G500" s="101"/>
      <c r="H500" s="101"/>
      <c r="I500" s="101"/>
      <c r="J500" s="101"/>
      <c r="S500" s="101"/>
      <c r="T500" s="241"/>
      <c r="U500" s="241"/>
      <c r="V500" s="241"/>
      <c r="W500" s="241"/>
      <c r="X500" s="241"/>
      <c r="Y500" s="241"/>
      <c r="Z500" s="252"/>
    </row>
    <row r="501" spans="3:26" ht="16.5">
      <c r="C501" s="101"/>
      <c r="D501" s="101"/>
      <c r="E501" s="101"/>
      <c r="F501" s="101"/>
      <c r="G501" s="101"/>
      <c r="H501" s="101"/>
      <c r="I501" s="101"/>
      <c r="J501" s="101"/>
      <c r="S501" s="101"/>
      <c r="T501" s="241"/>
      <c r="U501" s="241"/>
      <c r="V501" s="241"/>
      <c r="W501" s="241"/>
      <c r="X501" s="241"/>
      <c r="Y501" s="241"/>
      <c r="Z501" s="252"/>
    </row>
    <row r="502" spans="3:26" ht="16.5">
      <c r="C502" s="101"/>
      <c r="D502" s="101"/>
      <c r="E502" s="101"/>
      <c r="F502" s="101"/>
      <c r="G502" s="101"/>
      <c r="H502" s="101"/>
      <c r="I502" s="101"/>
      <c r="J502" s="101"/>
      <c r="S502" s="101"/>
      <c r="T502" s="241"/>
      <c r="U502" s="241"/>
      <c r="V502" s="241"/>
      <c r="W502" s="241"/>
      <c r="X502" s="241"/>
      <c r="Y502" s="241"/>
      <c r="Z502" s="252"/>
    </row>
    <row r="503" spans="3:26" ht="16.5">
      <c r="C503" s="101"/>
      <c r="D503" s="101"/>
      <c r="E503" s="101"/>
      <c r="F503" s="101"/>
      <c r="G503" s="101"/>
      <c r="H503" s="101"/>
      <c r="I503" s="101"/>
      <c r="J503" s="101"/>
      <c r="S503" s="101"/>
      <c r="T503" s="241"/>
      <c r="U503" s="241"/>
      <c r="V503" s="241"/>
      <c r="W503" s="241"/>
      <c r="X503" s="241"/>
      <c r="Y503" s="241"/>
      <c r="Z503" s="252"/>
    </row>
    <row r="504" spans="3:26" ht="16.5">
      <c r="C504" s="101"/>
      <c r="D504" s="101"/>
      <c r="E504" s="101"/>
      <c r="F504" s="101"/>
      <c r="G504" s="101"/>
      <c r="H504" s="101"/>
      <c r="I504" s="101"/>
      <c r="J504" s="101"/>
      <c r="S504" s="101"/>
      <c r="T504" s="241"/>
      <c r="U504" s="241"/>
      <c r="V504" s="241"/>
      <c r="W504" s="241"/>
      <c r="X504" s="241"/>
      <c r="Y504" s="241"/>
      <c r="Z504" s="252"/>
    </row>
    <row r="505" spans="3:26" ht="16.5">
      <c r="C505" s="101"/>
      <c r="D505" s="101"/>
      <c r="E505" s="101"/>
      <c r="F505" s="101"/>
      <c r="G505" s="101"/>
      <c r="H505" s="101"/>
      <c r="I505" s="101"/>
      <c r="J505" s="101"/>
      <c r="S505" s="101"/>
      <c r="T505" s="241"/>
      <c r="U505" s="241"/>
      <c r="V505" s="241"/>
      <c r="W505" s="241"/>
      <c r="X505" s="241"/>
      <c r="Y505" s="241"/>
      <c r="Z505" s="252"/>
    </row>
    <row r="506" spans="3:26" ht="16.5">
      <c r="C506" s="101"/>
      <c r="D506" s="101"/>
      <c r="E506" s="101"/>
      <c r="F506" s="101"/>
      <c r="G506" s="101"/>
      <c r="H506" s="101"/>
      <c r="I506" s="101"/>
      <c r="J506" s="101"/>
      <c r="S506" s="101"/>
      <c r="T506" s="241"/>
      <c r="U506" s="241"/>
      <c r="V506" s="241"/>
      <c r="W506" s="241"/>
      <c r="X506" s="241"/>
      <c r="Y506" s="241"/>
      <c r="Z506" s="252"/>
    </row>
    <row r="507" spans="3:26" ht="16.5">
      <c r="C507" s="101"/>
      <c r="D507" s="101"/>
      <c r="E507" s="101"/>
      <c r="F507" s="101"/>
      <c r="G507" s="101"/>
      <c r="H507" s="101"/>
      <c r="I507" s="101"/>
      <c r="J507" s="101"/>
      <c r="S507" s="101"/>
      <c r="T507" s="241"/>
      <c r="U507" s="241"/>
      <c r="V507" s="241"/>
      <c r="W507" s="241"/>
      <c r="X507" s="241"/>
      <c r="Y507" s="241"/>
      <c r="Z507" s="252"/>
    </row>
    <row r="508" spans="3:26" ht="16.5">
      <c r="C508" s="101"/>
      <c r="D508" s="101"/>
      <c r="E508" s="101"/>
      <c r="F508" s="101"/>
      <c r="G508" s="101"/>
      <c r="H508" s="101"/>
      <c r="I508" s="101"/>
      <c r="J508" s="101"/>
      <c r="S508" s="101"/>
      <c r="T508" s="241"/>
      <c r="U508" s="241"/>
      <c r="V508" s="241"/>
      <c r="W508" s="241"/>
      <c r="X508" s="241"/>
      <c r="Y508" s="241"/>
      <c r="Z508" s="252"/>
    </row>
    <row r="509" spans="3:26" ht="16.5">
      <c r="C509" s="101"/>
      <c r="D509" s="101"/>
      <c r="E509" s="101"/>
      <c r="F509" s="101"/>
      <c r="G509" s="101"/>
      <c r="H509" s="101"/>
      <c r="I509" s="101"/>
      <c r="J509" s="101"/>
      <c r="S509" s="101"/>
      <c r="T509" s="241"/>
      <c r="U509" s="241"/>
      <c r="V509" s="241"/>
      <c r="W509" s="241"/>
      <c r="X509" s="241"/>
      <c r="Y509" s="241"/>
      <c r="Z509" s="252"/>
    </row>
    <row r="510" spans="3:26" ht="16.5">
      <c r="C510" s="101"/>
      <c r="D510" s="101"/>
      <c r="E510" s="101"/>
      <c r="F510" s="101"/>
      <c r="G510" s="101"/>
      <c r="H510" s="101"/>
      <c r="I510" s="101"/>
      <c r="J510" s="101"/>
      <c r="S510" s="101"/>
      <c r="T510" s="241"/>
      <c r="U510" s="241"/>
      <c r="V510" s="241"/>
      <c r="W510" s="241"/>
      <c r="X510" s="241"/>
      <c r="Y510" s="241"/>
      <c r="Z510" s="252"/>
    </row>
    <row r="511" spans="3:26" ht="16.5">
      <c r="C511" s="101"/>
      <c r="D511" s="101"/>
      <c r="E511" s="101"/>
      <c r="F511" s="101"/>
      <c r="G511" s="101"/>
      <c r="H511" s="101"/>
      <c r="I511" s="101"/>
      <c r="J511" s="101"/>
      <c r="S511" s="101"/>
      <c r="T511" s="241"/>
      <c r="U511" s="241"/>
      <c r="V511" s="241"/>
      <c r="W511" s="241"/>
      <c r="X511" s="241"/>
      <c r="Y511" s="241"/>
      <c r="Z511" s="252"/>
    </row>
    <row r="512" spans="3:26" ht="16.5">
      <c r="C512" s="101"/>
      <c r="D512" s="101"/>
      <c r="E512" s="101"/>
      <c r="F512" s="101"/>
      <c r="G512" s="101"/>
      <c r="H512" s="101"/>
      <c r="I512" s="101"/>
      <c r="J512" s="101"/>
      <c r="S512" s="101"/>
      <c r="T512" s="241"/>
      <c r="U512" s="241"/>
      <c r="V512" s="241"/>
      <c r="W512" s="241"/>
      <c r="X512" s="241"/>
      <c r="Y512" s="241"/>
      <c r="Z512" s="252"/>
    </row>
    <row r="513" spans="3:26" ht="16.5">
      <c r="C513" s="101"/>
      <c r="D513" s="101"/>
      <c r="E513" s="101"/>
      <c r="F513" s="101"/>
      <c r="G513" s="101"/>
      <c r="H513" s="101"/>
      <c r="I513" s="101"/>
      <c r="J513" s="101"/>
      <c r="S513" s="101"/>
      <c r="T513" s="241"/>
      <c r="U513" s="241"/>
      <c r="V513" s="241"/>
      <c r="W513" s="241"/>
      <c r="X513" s="241"/>
      <c r="Y513" s="241"/>
      <c r="Z513" s="252"/>
    </row>
    <row r="514" spans="3:26" ht="16.5">
      <c r="C514" s="101"/>
      <c r="D514" s="101"/>
      <c r="E514" s="101"/>
      <c r="F514" s="101"/>
      <c r="G514" s="101"/>
      <c r="H514" s="101"/>
      <c r="I514" s="101"/>
      <c r="J514" s="101"/>
      <c r="S514" s="101"/>
      <c r="T514" s="241"/>
      <c r="U514" s="241"/>
      <c r="V514" s="241"/>
      <c r="W514" s="241"/>
      <c r="X514" s="241"/>
      <c r="Y514" s="241"/>
      <c r="Z514" s="252"/>
    </row>
    <row r="515" spans="3:26" ht="16.5">
      <c r="C515" s="101"/>
      <c r="D515" s="101"/>
      <c r="E515" s="101"/>
      <c r="F515" s="101"/>
      <c r="G515" s="101"/>
      <c r="H515" s="101"/>
      <c r="I515" s="101"/>
      <c r="J515" s="101"/>
      <c r="S515" s="101"/>
      <c r="T515" s="241"/>
      <c r="U515" s="241"/>
      <c r="V515" s="241"/>
      <c r="W515" s="241"/>
      <c r="X515" s="241"/>
      <c r="Y515" s="241"/>
      <c r="Z515" s="252"/>
    </row>
    <row r="516" spans="3:26" ht="16.5">
      <c r="C516" s="101"/>
      <c r="D516" s="101"/>
      <c r="E516" s="101"/>
      <c r="F516" s="101"/>
      <c r="G516" s="101"/>
      <c r="H516" s="101"/>
      <c r="I516" s="101"/>
      <c r="J516" s="101"/>
      <c r="S516" s="101"/>
      <c r="T516" s="241"/>
      <c r="U516" s="241"/>
      <c r="V516" s="241"/>
      <c r="W516" s="241"/>
      <c r="X516" s="241"/>
      <c r="Y516" s="241"/>
      <c r="Z516" s="252"/>
    </row>
    <row r="517" spans="3:26" ht="16.5">
      <c r="C517" s="101"/>
      <c r="D517" s="101"/>
      <c r="E517" s="101"/>
      <c r="F517" s="101"/>
      <c r="G517" s="101"/>
      <c r="H517" s="101"/>
      <c r="I517" s="101"/>
      <c r="J517" s="101"/>
      <c r="S517" s="101"/>
      <c r="T517" s="241"/>
      <c r="U517" s="241"/>
      <c r="V517" s="241"/>
      <c r="W517" s="241"/>
      <c r="X517" s="241"/>
      <c r="Y517" s="241"/>
      <c r="Z517" s="252"/>
    </row>
    <row r="518" spans="3:26" ht="16.5">
      <c r="C518" s="101"/>
      <c r="D518" s="101"/>
      <c r="E518" s="101"/>
      <c r="F518" s="101"/>
      <c r="G518" s="101"/>
      <c r="H518" s="101"/>
      <c r="I518" s="101"/>
      <c r="J518" s="101"/>
      <c r="S518" s="101"/>
      <c r="T518" s="241"/>
      <c r="U518" s="241"/>
      <c r="V518" s="241"/>
      <c r="W518" s="241"/>
      <c r="X518" s="241"/>
      <c r="Y518" s="241"/>
      <c r="Z518" s="252"/>
    </row>
    <row r="519" spans="3:26" ht="16.5">
      <c r="C519" s="101"/>
      <c r="D519" s="101"/>
      <c r="E519" s="101"/>
      <c r="F519" s="101"/>
      <c r="G519" s="101"/>
      <c r="H519" s="101"/>
      <c r="I519" s="101"/>
      <c r="J519" s="101"/>
      <c r="S519" s="101"/>
      <c r="T519" s="241"/>
      <c r="U519" s="241"/>
      <c r="V519" s="241"/>
      <c r="W519" s="241"/>
      <c r="X519" s="241"/>
      <c r="Y519" s="241"/>
      <c r="Z519" s="252"/>
    </row>
    <row r="520" spans="3:26" ht="16.5">
      <c r="C520" s="101"/>
      <c r="D520" s="101"/>
      <c r="E520" s="101"/>
      <c r="F520" s="101"/>
      <c r="G520" s="101"/>
      <c r="H520" s="101"/>
      <c r="I520" s="101"/>
      <c r="J520" s="101"/>
      <c r="S520" s="101"/>
      <c r="T520" s="241"/>
      <c r="U520" s="241"/>
      <c r="V520" s="241"/>
      <c r="W520" s="241"/>
      <c r="X520" s="241"/>
      <c r="Y520" s="241"/>
      <c r="Z520" s="252"/>
    </row>
    <row r="521" spans="3:26" ht="16.5">
      <c r="C521" s="101"/>
      <c r="D521" s="101"/>
      <c r="E521" s="101"/>
      <c r="F521" s="101"/>
      <c r="G521" s="101"/>
      <c r="H521" s="101"/>
      <c r="I521" s="101"/>
      <c r="J521" s="101"/>
      <c r="S521" s="101"/>
      <c r="T521" s="241"/>
      <c r="U521" s="241"/>
      <c r="V521" s="241"/>
      <c r="W521" s="241"/>
      <c r="X521" s="241"/>
      <c r="Y521" s="241"/>
      <c r="Z521" s="252"/>
    </row>
    <row r="522" spans="3:26" ht="16.5">
      <c r="C522" s="101"/>
      <c r="D522" s="101"/>
      <c r="E522" s="101"/>
      <c r="F522" s="101"/>
      <c r="G522" s="101"/>
      <c r="H522" s="101"/>
      <c r="I522" s="101"/>
      <c r="J522" s="101"/>
      <c r="S522" s="101"/>
      <c r="T522" s="241"/>
      <c r="U522" s="241"/>
      <c r="V522" s="241"/>
      <c r="W522" s="241"/>
      <c r="X522" s="241"/>
      <c r="Y522" s="241"/>
      <c r="Z522" s="252"/>
    </row>
    <row r="523" spans="3:26" ht="16.5">
      <c r="C523" s="101"/>
      <c r="D523" s="101"/>
      <c r="E523" s="101"/>
      <c r="F523" s="101"/>
      <c r="G523" s="101"/>
      <c r="H523" s="101"/>
      <c r="I523" s="101"/>
      <c r="J523" s="101"/>
      <c r="S523" s="101"/>
      <c r="T523" s="241"/>
      <c r="U523" s="241"/>
      <c r="V523" s="241"/>
      <c r="W523" s="241"/>
      <c r="X523" s="241"/>
      <c r="Y523" s="241"/>
      <c r="Z523" s="252"/>
    </row>
    <row r="524" spans="3:26" ht="16.5">
      <c r="C524" s="101"/>
      <c r="D524" s="101"/>
      <c r="E524" s="101"/>
      <c r="F524" s="101"/>
      <c r="G524" s="101"/>
      <c r="H524" s="101"/>
      <c r="I524" s="101"/>
      <c r="J524" s="101"/>
      <c r="S524" s="101"/>
      <c r="T524" s="241"/>
      <c r="U524" s="241"/>
      <c r="V524" s="241"/>
      <c r="W524" s="241"/>
      <c r="X524" s="241"/>
      <c r="Y524" s="241"/>
      <c r="Z524" s="252"/>
    </row>
    <row r="525" spans="3:26" ht="16.5">
      <c r="C525" s="101"/>
      <c r="D525" s="101"/>
      <c r="E525" s="101"/>
      <c r="F525" s="101"/>
      <c r="G525" s="101"/>
      <c r="H525" s="101"/>
      <c r="I525" s="101"/>
      <c r="J525" s="101"/>
      <c r="S525" s="101"/>
      <c r="T525" s="241"/>
      <c r="U525" s="241"/>
      <c r="V525" s="241"/>
      <c r="W525" s="241"/>
      <c r="X525" s="241"/>
      <c r="Y525" s="241"/>
      <c r="Z525" s="252"/>
    </row>
    <row r="526" spans="3:26" ht="16.5">
      <c r="C526" s="101"/>
      <c r="D526" s="101"/>
      <c r="E526" s="101"/>
      <c r="F526" s="101"/>
      <c r="G526" s="101"/>
      <c r="H526" s="101"/>
      <c r="I526" s="101"/>
      <c r="J526" s="101"/>
      <c r="S526" s="101"/>
      <c r="T526" s="241"/>
      <c r="U526" s="241"/>
      <c r="V526" s="241"/>
      <c r="W526" s="241"/>
      <c r="X526" s="241"/>
      <c r="Y526" s="241"/>
      <c r="Z526" s="252"/>
    </row>
    <row r="527" spans="3:26" ht="16.5">
      <c r="C527" s="101"/>
      <c r="D527" s="101"/>
      <c r="E527" s="101"/>
      <c r="F527" s="101"/>
      <c r="G527" s="101"/>
      <c r="H527" s="101"/>
      <c r="I527" s="101"/>
      <c r="J527" s="101"/>
      <c r="S527" s="101"/>
      <c r="T527" s="241"/>
      <c r="U527" s="241"/>
      <c r="V527" s="241"/>
      <c r="W527" s="241"/>
      <c r="X527" s="241"/>
      <c r="Y527" s="241"/>
      <c r="Z527" s="252"/>
    </row>
    <row r="528" spans="3:26" ht="16.5">
      <c r="C528" s="101"/>
      <c r="D528" s="101"/>
      <c r="E528" s="101"/>
      <c r="F528" s="101"/>
      <c r="G528" s="101"/>
      <c r="H528" s="101"/>
      <c r="I528" s="101"/>
      <c r="J528" s="101"/>
      <c r="S528" s="101"/>
      <c r="T528" s="241"/>
      <c r="U528" s="241"/>
      <c r="V528" s="241"/>
      <c r="W528" s="241"/>
      <c r="X528" s="241"/>
      <c r="Y528" s="241"/>
      <c r="Z528" s="252"/>
    </row>
    <row r="529" spans="3:26" ht="16.5">
      <c r="C529" s="101"/>
      <c r="D529" s="101"/>
      <c r="E529" s="101"/>
      <c r="F529" s="101"/>
      <c r="G529" s="101"/>
      <c r="H529" s="101"/>
      <c r="I529" s="101"/>
      <c r="J529" s="101"/>
      <c r="S529" s="101"/>
      <c r="T529" s="241"/>
      <c r="U529" s="241"/>
      <c r="V529" s="241"/>
      <c r="W529" s="241"/>
      <c r="X529" s="241"/>
      <c r="Y529" s="241"/>
      <c r="Z529" s="252"/>
    </row>
    <row r="530" spans="3:26" ht="16.5">
      <c r="C530" s="101"/>
      <c r="D530" s="101"/>
      <c r="E530" s="101"/>
      <c r="F530" s="101"/>
      <c r="G530" s="101"/>
      <c r="H530" s="101"/>
      <c r="I530" s="101"/>
      <c r="J530" s="101"/>
      <c r="S530" s="101"/>
      <c r="T530" s="241"/>
      <c r="U530" s="241"/>
      <c r="V530" s="241"/>
      <c r="W530" s="241"/>
      <c r="X530" s="241"/>
      <c r="Y530" s="241"/>
      <c r="Z530" s="252"/>
    </row>
    <row r="531" spans="3:26" ht="16.5">
      <c r="C531" s="101"/>
      <c r="D531" s="101"/>
      <c r="E531" s="101"/>
      <c r="F531" s="101"/>
      <c r="G531" s="101"/>
      <c r="H531" s="101"/>
      <c r="I531" s="101"/>
      <c r="J531" s="101"/>
      <c r="S531" s="101"/>
      <c r="T531" s="241"/>
      <c r="U531" s="241"/>
      <c r="V531" s="241"/>
      <c r="W531" s="241"/>
      <c r="X531" s="241"/>
      <c r="Y531" s="241"/>
      <c r="Z531" s="252"/>
    </row>
    <row r="532" spans="3:26" ht="16.5">
      <c r="C532" s="101"/>
      <c r="D532" s="101"/>
      <c r="E532" s="101"/>
      <c r="F532" s="101"/>
      <c r="G532" s="101"/>
      <c r="H532" s="101"/>
      <c r="I532" s="101"/>
      <c r="J532" s="101"/>
      <c r="S532" s="101"/>
      <c r="T532" s="241"/>
      <c r="U532" s="241"/>
      <c r="V532" s="241"/>
      <c r="W532" s="241"/>
      <c r="X532" s="241"/>
      <c r="Y532" s="241"/>
      <c r="Z532" s="252"/>
    </row>
    <row r="533" spans="3:26" ht="16.5">
      <c r="C533" s="101"/>
      <c r="D533" s="101"/>
      <c r="E533" s="101"/>
      <c r="F533" s="101"/>
      <c r="G533" s="101"/>
      <c r="H533" s="101"/>
      <c r="I533" s="101"/>
      <c r="J533" s="101"/>
      <c r="S533" s="101"/>
      <c r="T533" s="241"/>
      <c r="U533" s="241"/>
      <c r="V533" s="241"/>
      <c r="W533" s="241"/>
      <c r="X533" s="241"/>
      <c r="Y533" s="241"/>
      <c r="Z533" s="252"/>
    </row>
    <row r="534" spans="3:26" ht="16.5">
      <c r="C534" s="101"/>
      <c r="D534" s="101"/>
      <c r="E534" s="101"/>
      <c r="F534" s="101"/>
      <c r="G534" s="101"/>
      <c r="H534" s="101"/>
      <c r="I534" s="101"/>
      <c r="J534" s="101"/>
      <c r="S534" s="101"/>
      <c r="T534" s="241"/>
      <c r="U534" s="241"/>
      <c r="V534" s="241"/>
      <c r="W534" s="241"/>
      <c r="X534" s="241"/>
      <c r="Y534" s="241"/>
      <c r="Z534" s="252"/>
    </row>
    <row r="535" spans="3:26" ht="16.5">
      <c r="C535" s="101"/>
      <c r="D535" s="101"/>
      <c r="E535" s="101"/>
      <c r="F535" s="101"/>
      <c r="G535" s="101"/>
      <c r="H535" s="101"/>
      <c r="I535" s="101"/>
      <c r="J535" s="101"/>
      <c r="S535" s="101"/>
      <c r="T535" s="241"/>
      <c r="U535" s="241"/>
      <c r="V535" s="241"/>
      <c r="W535" s="241"/>
      <c r="X535" s="241"/>
      <c r="Y535" s="241"/>
      <c r="Z535" s="252"/>
    </row>
    <row r="536" spans="3:26" ht="16.5">
      <c r="C536" s="101"/>
      <c r="D536" s="101"/>
      <c r="E536" s="101"/>
      <c r="F536" s="101"/>
      <c r="G536" s="101"/>
      <c r="H536" s="101"/>
      <c r="I536" s="101"/>
      <c r="J536" s="101"/>
      <c r="S536" s="101"/>
      <c r="T536" s="241"/>
      <c r="U536" s="241"/>
      <c r="V536" s="241"/>
      <c r="W536" s="241"/>
      <c r="X536" s="241"/>
      <c r="Y536" s="241"/>
      <c r="Z536" s="252"/>
    </row>
    <row r="537" spans="3:26" ht="16.5">
      <c r="C537" s="101"/>
      <c r="D537" s="101"/>
      <c r="E537" s="101"/>
      <c r="F537" s="101"/>
      <c r="G537" s="101"/>
      <c r="H537" s="101"/>
      <c r="I537" s="101"/>
      <c r="J537" s="101"/>
      <c r="S537" s="101"/>
      <c r="T537" s="241"/>
      <c r="U537" s="241"/>
      <c r="V537" s="241"/>
      <c r="W537" s="241"/>
      <c r="X537" s="241"/>
      <c r="Y537" s="241"/>
      <c r="Z537" s="252"/>
    </row>
    <row r="538" spans="3:26" ht="16.5">
      <c r="C538" s="101"/>
      <c r="D538" s="101"/>
      <c r="E538" s="101"/>
      <c r="F538" s="101"/>
      <c r="G538" s="101"/>
      <c r="H538" s="101"/>
      <c r="I538" s="101"/>
      <c r="J538" s="101"/>
      <c r="S538" s="101"/>
      <c r="T538" s="241"/>
      <c r="U538" s="241"/>
      <c r="V538" s="241"/>
      <c r="W538" s="241"/>
      <c r="X538" s="241"/>
      <c r="Y538" s="241"/>
      <c r="Z538" s="252"/>
    </row>
    <row r="539" spans="3:26" ht="16.5">
      <c r="C539" s="101"/>
      <c r="D539" s="101"/>
      <c r="E539" s="101"/>
      <c r="F539" s="101"/>
      <c r="G539" s="101"/>
      <c r="H539" s="101"/>
      <c r="I539" s="101"/>
      <c r="J539" s="101"/>
      <c r="S539" s="101"/>
      <c r="T539" s="241"/>
      <c r="U539" s="241"/>
      <c r="V539" s="241"/>
      <c r="W539" s="241"/>
      <c r="X539" s="241"/>
      <c r="Y539" s="241"/>
      <c r="Z539" s="252"/>
    </row>
    <row r="540" spans="3:26" ht="16.5">
      <c r="C540" s="101"/>
      <c r="D540" s="101"/>
      <c r="E540" s="101"/>
      <c r="F540" s="101"/>
      <c r="G540" s="101"/>
      <c r="H540" s="101"/>
      <c r="I540" s="101"/>
      <c r="J540" s="101"/>
      <c r="S540" s="101"/>
      <c r="T540" s="241"/>
      <c r="U540" s="241"/>
      <c r="V540" s="241"/>
      <c r="W540" s="241"/>
      <c r="X540" s="241"/>
      <c r="Y540" s="241"/>
      <c r="Z540" s="252"/>
    </row>
    <row r="541" spans="3:26" ht="16.5">
      <c r="C541" s="101"/>
      <c r="D541" s="101"/>
      <c r="E541" s="101"/>
      <c r="F541" s="101"/>
      <c r="G541" s="101"/>
      <c r="H541" s="101"/>
      <c r="I541" s="101"/>
      <c r="J541" s="101"/>
      <c r="S541" s="101"/>
      <c r="T541" s="241"/>
      <c r="U541" s="241"/>
      <c r="V541" s="241"/>
      <c r="W541" s="241"/>
      <c r="X541" s="241"/>
      <c r="Y541" s="241"/>
      <c r="Z541" s="252"/>
    </row>
    <row r="542" spans="3:26" ht="16.5">
      <c r="C542" s="101"/>
      <c r="D542" s="101"/>
      <c r="E542" s="101"/>
      <c r="F542" s="101"/>
      <c r="G542" s="101"/>
      <c r="H542" s="101"/>
      <c r="I542" s="101"/>
      <c r="J542" s="101"/>
      <c r="S542" s="101"/>
      <c r="T542" s="241"/>
      <c r="U542" s="241"/>
      <c r="V542" s="241"/>
      <c r="W542" s="241"/>
      <c r="X542" s="241"/>
      <c r="Y542" s="241"/>
      <c r="Z542" s="252"/>
    </row>
    <row r="543" spans="3:26" ht="16.5">
      <c r="C543" s="101"/>
      <c r="D543" s="101"/>
      <c r="E543" s="101"/>
      <c r="F543" s="101"/>
      <c r="G543" s="101"/>
      <c r="H543" s="101"/>
      <c r="I543" s="101"/>
      <c r="J543" s="101"/>
      <c r="S543" s="101"/>
      <c r="T543" s="241"/>
      <c r="U543" s="241"/>
      <c r="V543" s="241"/>
      <c r="W543" s="241"/>
      <c r="X543" s="241"/>
      <c r="Y543" s="241"/>
      <c r="Z543" s="252"/>
    </row>
    <row r="544" spans="3:26" ht="16.5">
      <c r="C544" s="101"/>
      <c r="D544" s="101"/>
      <c r="E544" s="101"/>
      <c r="F544" s="101"/>
      <c r="G544" s="101"/>
      <c r="H544" s="101"/>
      <c r="I544" s="101"/>
      <c r="J544" s="101"/>
      <c r="S544" s="101"/>
      <c r="T544" s="241"/>
      <c r="U544" s="241"/>
      <c r="V544" s="241"/>
      <c r="W544" s="241"/>
      <c r="X544" s="241"/>
      <c r="Y544" s="241"/>
      <c r="Z544" s="252"/>
    </row>
    <row r="545" spans="3:26" ht="16.5">
      <c r="C545" s="101"/>
      <c r="D545" s="101"/>
      <c r="E545" s="101"/>
      <c r="F545" s="101"/>
      <c r="G545" s="101"/>
      <c r="H545" s="101"/>
      <c r="I545" s="101"/>
      <c r="J545" s="101"/>
      <c r="S545" s="101"/>
      <c r="T545" s="241"/>
      <c r="U545" s="241"/>
      <c r="V545" s="241"/>
      <c r="W545" s="241"/>
      <c r="X545" s="241"/>
      <c r="Y545" s="241"/>
      <c r="Z545" s="252"/>
    </row>
    <row r="546" spans="3:26" ht="16.5">
      <c r="C546" s="101"/>
      <c r="D546" s="101"/>
      <c r="E546" s="101"/>
      <c r="F546" s="101"/>
      <c r="G546" s="101"/>
      <c r="H546" s="101"/>
      <c r="I546" s="101"/>
      <c r="J546" s="101"/>
      <c r="S546" s="101"/>
      <c r="T546" s="241"/>
      <c r="U546" s="241"/>
      <c r="V546" s="241"/>
      <c r="W546" s="241"/>
      <c r="X546" s="241"/>
      <c r="Y546" s="241"/>
      <c r="Z546" s="252"/>
    </row>
    <row r="547" spans="3:26" ht="16.5">
      <c r="C547" s="101"/>
      <c r="D547" s="101"/>
      <c r="E547" s="101"/>
      <c r="F547" s="101"/>
      <c r="G547" s="101"/>
      <c r="H547" s="101"/>
      <c r="I547" s="101"/>
      <c r="J547" s="101"/>
      <c r="S547" s="101"/>
      <c r="T547" s="241"/>
      <c r="U547" s="241"/>
      <c r="V547" s="241"/>
      <c r="W547" s="241"/>
      <c r="X547" s="241"/>
      <c r="Y547" s="241"/>
      <c r="Z547" s="252"/>
    </row>
    <row r="548" spans="3:26" ht="16.5">
      <c r="C548" s="101"/>
      <c r="D548" s="101"/>
      <c r="E548" s="101"/>
      <c r="F548" s="101"/>
      <c r="G548" s="101"/>
      <c r="H548" s="101"/>
      <c r="I548" s="101"/>
      <c r="J548" s="101"/>
      <c r="S548" s="101"/>
      <c r="T548" s="241"/>
      <c r="U548" s="241"/>
      <c r="V548" s="241"/>
      <c r="W548" s="241"/>
      <c r="X548" s="241"/>
      <c r="Y548" s="241"/>
      <c r="Z548" s="252"/>
    </row>
    <row r="549" spans="3:26" ht="16.5">
      <c r="C549" s="101"/>
      <c r="D549" s="101"/>
      <c r="E549" s="101"/>
      <c r="F549" s="101"/>
      <c r="G549" s="101"/>
      <c r="H549" s="101"/>
      <c r="I549" s="101"/>
      <c r="J549" s="101"/>
      <c r="S549" s="101"/>
      <c r="T549" s="241"/>
      <c r="U549" s="241"/>
      <c r="V549" s="241"/>
      <c r="W549" s="241"/>
      <c r="X549" s="241"/>
      <c r="Y549" s="241"/>
      <c r="Z549" s="252"/>
    </row>
    <row r="550" spans="3:26" ht="16.5">
      <c r="C550" s="101"/>
      <c r="D550" s="101"/>
      <c r="E550" s="101"/>
      <c r="F550" s="101"/>
      <c r="G550" s="101"/>
      <c r="H550" s="101"/>
      <c r="I550" s="101"/>
      <c r="J550" s="101"/>
      <c r="S550" s="101"/>
      <c r="T550" s="241"/>
      <c r="U550" s="241"/>
      <c r="V550" s="241"/>
      <c r="W550" s="241"/>
      <c r="X550" s="241"/>
      <c r="Y550" s="241"/>
      <c r="Z550" s="252"/>
    </row>
    <row r="551" spans="3:26" ht="16.5">
      <c r="C551" s="101"/>
      <c r="D551" s="101"/>
      <c r="E551" s="101"/>
      <c r="F551" s="101"/>
      <c r="G551" s="101"/>
      <c r="H551" s="101"/>
      <c r="I551" s="101"/>
      <c r="J551" s="101"/>
      <c r="S551" s="101"/>
      <c r="T551" s="241"/>
      <c r="U551" s="241"/>
      <c r="V551" s="241"/>
      <c r="W551" s="241"/>
      <c r="X551" s="241"/>
      <c r="Y551" s="241"/>
      <c r="Z551" s="252"/>
    </row>
    <row r="552" spans="3:26" ht="16.5">
      <c r="C552" s="101"/>
      <c r="D552" s="101"/>
      <c r="E552" s="101"/>
      <c r="F552" s="101"/>
      <c r="G552" s="101"/>
      <c r="H552" s="101"/>
      <c r="I552" s="101"/>
      <c r="J552" s="101"/>
      <c r="S552" s="101"/>
      <c r="T552" s="241"/>
      <c r="U552" s="241"/>
      <c r="V552" s="241"/>
      <c r="W552" s="241"/>
      <c r="X552" s="241"/>
      <c r="Y552" s="241"/>
      <c r="Z552" s="252"/>
    </row>
    <row r="553" spans="3:26" ht="16.5">
      <c r="C553" s="101"/>
      <c r="D553" s="101"/>
      <c r="E553" s="101"/>
      <c r="F553" s="101"/>
      <c r="G553" s="101"/>
      <c r="H553" s="101"/>
      <c r="I553" s="101"/>
      <c r="J553" s="101"/>
      <c r="S553" s="101"/>
      <c r="T553" s="241"/>
      <c r="U553" s="241"/>
      <c r="V553" s="241"/>
      <c r="W553" s="241"/>
      <c r="X553" s="241"/>
      <c r="Y553" s="241"/>
      <c r="Z553" s="252"/>
    </row>
    <row r="554" spans="3:26" ht="16.5">
      <c r="C554" s="101"/>
      <c r="D554" s="101"/>
      <c r="E554" s="101"/>
      <c r="F554" s="101"/>
      <c r="G554" s="101"/>
      <c r="H554" s="101"/>
      <c r="I554" s="101"/>
      <c r="J554" s="101"/>
      <c r="S554" s="101"/>
      <c r="T554" s="241"/>
      <c r="U554" s="241"/>
      <c r="V554" s="241"/>
      <c r="W554" s="241"/>
      <c r="X554" s="241"/>
      <c r="Y554" s="241"/>
      <c r="Z554" s="252"/>
    </row>
    <row r="555" spans="3:26" ht="16.5">
      <c r="C555" s="101"/>
      <c r="D555" s="101"/>
      <c r="E555" s="101"/>
      <c r="F555" s="101"/>
      <c r="G555" s="101"/>
      <c r="H555" s="101"/>
      <c r="I555" s="101"/>
      <c r="J555" s="101"/>
      <c r="S555" s="101"/>
      <c r="T555" s="241"/>
      <c r="U555" s="241"/>
      <c r="V555" s="241"/>
      <c r="W555" s="241"/>
      <c r="X555" s="241"/>
      <c r="Y555" s="241"/>
      <c r="Z555" s="252"/>
    </row>
    <row r="556" spans="3:26" ht="16.5">
      <c r="C556" s="101"/>
      <c r="D556" s="101"/>
      <c r="E556" s="101"/>
      <c r="F556" s="101"/>
      <c r="G556" s="101"/>
      <c r="H556" s="101"/>
      <c r="I556" s="101"/>
      <c r="J556" s="101"/>
      <c r="S556" s="101"/>
      <c r="T556" s="241"/>
      <c r="U556" s="241"/>
      <c r="V556" s="241"/>
      <c r="W556" s="241"/>
      <c r="X556" s="241"/>
      <c r="Y556" s="241"/>
      <c r="Z556" s="252"/>
    </row>
    <row r="557" spans="3:26" ht="16.5">
      <c r="C557" s="101"/>
      <c r="D557" s="101"/>
      <c r="E557" s="101"/>
      <c r="F557" s="101"/>
      <c r="G557" s="101"/>
      <c r="H557" s="101"/>
      <c r="I557" s="101"/>
      <c r="J557" s="101"/>
      <c r="S557" s="101"/>
      <c r="T557" s="241"/>
      <c r="U557" s="241"/>
      <c r="V557" s="241"/>
      <c r="W557" s="241"/>
      <c r="X557" s="241"/>
      <c r="Y557" s="241"/>
      <c r="Z557" s="252"/>
    </row>
    <row r="558" spans="3:26" ht="16.5">
      <c r="C558" s="101"/>
      <c r="D558" s="101"/>
      <c r="E558" s="101"/>
      <c r="F558" s="101"/>
      <c r="G558" s="101"/>
      <c r="H558" s="101"/>
      <c r="I558" s="101"/>
      <c r="J558" s="101"/>
      <c r="S558" s="101"/>
      <c r="T558" s="241"/>
      <c r="U558" s="241"/>
      <c r="V558" s="241"/>
      <c r="W558" s="241"/>
      <c r="X558" s="241"/>
      <c r="Y558" s="241"/>
      <c r="Z558" s="252"/>
    </row>
    <row r="559" spans="3:26" ht="16.5">
      <c r="C559" s="101"/>
      <c r="D559" s="101"/>
      <c r="E559" s="101"/>
      <c r="F559" s="101"/>
      <c r="G559" s="101"/>
      <c r="H559" s="101"/>
      <c r="I559" s="101"/>
      <c r="J559" s="101"/>
      <c r="S559" s="101"/>
      <c r="T559" s="241"/>
      <c r="U559" s="241"/>
      <c r="V559" s="241"/>
      <c r="W559" s="241"/>
      <c r="X559" s="241"/>
      <c r="Y559" s="241"/>
      <c r="Z559" s="252"/>
    </row>
    <row r="560" spans="3:26" ht="16.5">
      <c r="C560" s="101"/>
      <c r="D560" s="101"/>
      <c r="E560" s="101"/>
      <c r="F560" s="101"/>
      <c r="G560" s="101"/>
      <c r="H560" s="101"/>
      <c r="I560" s="101"/>
      <c r="J560" s="101"/>
      <c r="S560" s="101"/>
      <c r="T560" s="241"/>
      <c r="U560" s="241"/>
      <c r="V560" s="241"/>
      <c r="W560" s="241"/>
      <c r="X560" s="241"/>
      <c r="Y560" s="241"/>
      <c r="Z560" s="252"/>
    </row>
    <row r="561" spans="3:26" ht="16.5">
      <c r="C561" s="101"/>
      <c r="D561" s="101"/>
      <c r="E561" s="101"/>
      <c r="F561" s="101"/>
      <c r="G561" s="101"/>
      <c r="H561" s="101"/>
      <c r="I561" s="101"/>
      <c r="J561" s="101"/>
      <c r="S561" s="101"/>
      <c r="T561" s="241"/>
      <c r="U561" s="241"/>
      <c r="V561" s="241"/>
      <c r="W561" s="241"/>
      <c r="X561" s="241"/>
      <c r="Y561" s="241"/>
      <c r="Z561" s="252"/>
    </row>
    <row r="562" spans="3:26" ht="16.5">
      <c r="C562" s="101"/>
      <c r="D562" s="101"/>
      <c r="E562" s="101"/>
      <c r="F562" s="101"/>
      <c r="G562" s="101"/>
      <c r="H562" s="101"/>
      <c r="I562" s="101"/>
      <c r="J562" s="101"/>
      <c r="S562" s="101"/>
      <c r="T562" s="241"/>
      <c r="U562" s="241"/>
      <c r="V562" s="241"/>
      <c r="W562" s="241"/>
      <c r="X562" s="241"/>
      <c r="Y562" s="241"/>
      <c r="Z562" s="252"/>
    </row>
    <row r="563" spans="3:26" ht="16.5">
      <c r="C563" s="101"/>
      <c r="D563" s="101"/>
      <c r="E563" s="101"/>
      <c r="F563" s="101"/>
      <c r="G563" s="101"/>
      <c r="H563" s="101"/>
      <c r="I563" s="101"/>
      <c r="J563" s="101"/>
      <c r="S563" s="101"/>
      <c r="T563" s="241"/>
      <c r="U563" s="241"/>
      <c r="V563" s="241"/>
      <c r="W563" s="241"/>
      <c r="X563" s="241"/>
      <c r="Y563" s="241"/>
      <c r="Z563" s="252"/>
    </row>
    <row r="564" spans="3:26" ht="16.5">
      <c r="C564" s="101"/>
      <c r="D564" s="101"/>
      <c r="E564" s="101"/>
      <c r="F564" s="101"/>
      <c r="G564" s="101"/>
      <c r="H564" s="101"/>
      <c r="I564" s="101"/>
      <c r="J564" s="101"/>
      <c r="S564" s="101"/>
      <c r="T564" s="241"/>
      <c r="U564" s="241"/>
      <c r="V564" s="241"/>
      <c r="W564" s="241"/>
      <c r="X564" s="241"/>
      <c r="Y564" s="241"/>
      <c r="Z564" s="252"/>
    </row>
    <row r="565" spans="3:26" ht="16.5">
      <c r="C565" s="101"/>
      <c r="D565" s="101"/>
      <c r="E565" s="101"/>
      <c r="F565" s="101"/>
      <c r="G565" s="101"/>
      <c r="H565" s="101"/>
      <c r="I565" s="101"/>
      <c r="J565" s="101"/>
      <c r="S565" s="101"/>
      <c r="T565" s="241"/>
      <c r="U565" s="241"/>
      <c r="V565" s="241"/>
      <c r="W565" s="241"/>
      <c r="X565" s="241"/>
      <c r="Y565" s="241"/>
      <c r="Z565" s="252"/>
    </row>
    <row r="566" spans="3:26" ht="16.5">
      <c r="C566" s="101"/>
      <c r="D566" s="101"/>
      <c r="E566" s="101"/>
      <c r="F566" s="101"/>
      <c r="G566" s="101"/>
      <c r="H566" s="101"/>
      <c r="I566" s="101"/>
      <c r="J566" s="101"/>
      <c r="S566" s="101"/>
      <c r="T566" s="241"/>
      <c r="U566" s="241"/>
      <c r="V566" s="241"/>
      <c r="W566" s="241"/>
      <c r="X566" s="241"/>
      <c r="Y566" s="241"/>
      <c r="Z566" s="252"/>
    </row>
    <row r="567" spans="3:26" ht="16.5">
      <c r="C567" s="101"/>
      <c r="D567" s="101"/>
      <c r="E567" s="101"/>
      <c r="F567" s="101"/>
      <c r="G567" s="101"/>
      <c r="H567" s="101"/>
      <c r="I567" s="101"/>
      <c r="J567" s="101"/>
      <c r="S567" s="101"/>
      <c r="T567" s="241"/>
      <c r="U567" s="241"/>
      <c r="V567" s="241"/>
      <c r="W567" s="241"/>
      <c r="X567" s="241"/>
      <c r="Y567" s="241"/>
      <c r="Z567" s="252"/>
    </row>
    <row r="568" spans="3:26" ht="16.5">
      <c r="C568" s="101"/>
      <c r="D568" s="101"/>
      <c r="E568" s="101"/>
      <c r="F568" s="101"/>
      <c r="G568" s="101"/>
      <c r="H568" s="101"/>
      <c r="I568" s="101"/>
      <c r="J568" s="101"/>
      <c r="S568" s="101"/>
      <c r="T568" s="241"/>
      <c r="U568" s="241"/>
      <c r="V568" s="241"/>
      <c r="W568" s="241"/>
      <c r="X568" s="241"/>
      <c r="Y568" s="241"/>
      <c r="Z568" s="252"/>
    </row>
    <row r="569" spans="3:26" ht="16.5">
      <c r="C569" s="101"/>
      <c r="D569" s="101"/>
      <c r="E569" s="101"/>
      <c r="F569" s="101"/>
      <c r="G569" s="101"/>
      <c r="H569" s="101"/>
      <c r="I569" s="101"/>
      <c r="J569" s="101"/>
      <c r="S569" s="101"/>
      <c r="T569" s="241"/>
      <c r="U569" s="241"/>
      <c r="V569" s="241"/>
      <c r="W569" s="241"/>
      <c r="X569" s="241"/>
      <c r="Y569" s="241"/>
      <c r="Z569" s="252"/>
    </row>
    <row r="570" spans="3:26" ht="16.5">
      <c r="C570" s="101"/>
      <c r="D570" s="101"/>
      <c r="E570" s="101"/>
      <c r="F570" s="101"/>
      <c r="G570" s="101"/>
      <c r="H570" s="101"/>
      <c r="I570" s="101"/>
      <c r="J570" s="101"/>
      <c r="S570" s="101"/>
      <c r="T570" s="241"/>
      <c r="U570" s="241"/>
      <c r="V570" s="241"/>
      <c r="W570" s="241"/>
      <c r="X570" s="241"/>
      <c r="Y570" s="241"/>
      <c r="Z570" s="252"/>
    </row>
    <row r="571" spans="3:26" ht="16.5">
      <c r="C571" s="101"/>
      <c r="D571" s="101"/>
      <c r="E571" s="101"/>
      <c r="F571" s="101"/>
      <c r="G571" s="101"/>
      <c r="H571" s="101"/>
      <c r="I571" s="101"/>
      <c r="J571" s="101"/>
      <c r="S571" s="101"/>
      <c r="T571" s="241"/>
      <c r="U571" s="241"/>
      <c r="V571" s="241"/>
      <c r="W571" s="241"/>
      <c r="X571" s="241"/>
      <c r="Y571" s="241"/>
      <c r="Z571" s="252"/>
    </row>
    <row r="572" spans="3:26" ht="16.5">
      <c r="C572" s="101"/>
      <c r="D572" s="101"/>
      <c r="E572" s="101"/>
      <c r="F572" s="101"/>
      <c r="G572" s="101"/>
      <c r="H572" s="101"/>
      <c r="I572" s="101"/>
      <c r="J572" s="101"/>
      <c r="S572" s="101"/>
      <c r="T572" s="241"/>
      <c r="U572" s="241"/>
      <c r="V572" s="241"/>
      <c r="W572" s="241"/>
      <c r="X572" s="241"/>
      <c r="Y572" s="241"/>
      <c r="Z572" s="252"/>
    </row>
    <row r="573" spans="3:26" ht="16.5">
      <c r="C573" s="101"/>
      <c r="D573" s="101"/>
      <c r="E573" s="101"/>
      <c r="F573" s="101"/>
      <c r="G573" s="101"/>
      <c r="H573" s="101"/>
      <c r="I573" s="101"/>
      <c r="J573" s="101"/>
      <c r="S573" s="101"/>
      <c r="T573" s="241"/>
      <c r="U573" s="241"/>
      <c r="V573" s="241"/>
      <c r="W573" s="241"/>
      <c r="X573" s="241"/>
      <c r="Y573" s="241"/>
      <c r="Z573" s="252"/>
    </row>
    <row r="574" spans="3:26" ht="16.5">
      <c r="C574" s="101"/>
      <c r="D574" s="101"/>
      <c r="E574" s="101"/>
      <c r="F574" s="101"/>
      <c r="G574" s="101"/>
      <c r="H574" s="101"/>
      <c r="I574" s="101"/>
      <c r="J574" s="101"/>
      <c r="S574" s="101"/>
      <c r="T574" s="241"/>
      <c r="U574" s="241"/>
      <c r="V574" s="241"/>
      <c r="W574" s="241"/>
      <c r="X574" s="241"/>
      <c r="Y574" s="241"/>
      <c r="Z574" s="252"/>
    </row>
    <row r="575" spans="3:26" ht="16.5">
      <c r="C575" s="101"/>
      <c r="D575" s="101"/>
      <c r="E575" s="101"/>
      <c r="F575" s="101"/>
      <c r="G575" s="101"/>
      <c r="H575" s="101"/>
      <c r="I575" s="101"/>
      <c r="J575" s="101"/>
      <c r="S575" s="101"/>
      <c r="T575" s="241"/>
      <c r="U575" s="241"/>
      <c r="V575" s="241"/>
      <c r="W575" s="241"/>
      <c r="X575" s="241"/>
      <c r="Y575" s="241"/>
      <c r="Z575" s="252"/>
    </row>
    <row r="576" spans="3:26" ht="16.5">
      <c r="C576" s="101"/>
      <c r="D576" s="101"/>
      <c r="E576" s="101"/>
      <c r="F576" s="101"/>
      <c r="G576" s="101"/>
      <c r="H576" s="101"/>
      <c r="I576" s="101"/>
      <c r="J576" s="101"/>
      <c r="S576" s="101"/>
      <c r="T576" s="241"/>
      <c r="U576" s="241"/>
      <c r="V576" s="241"/>
      <c r="W576" s="241"/>
      <c r="X576" s="241"/>
      <c r="Y576" s="241"/>
      <c r="Z576" s="252"/>
    </row>
    <row r="577" spans="3:26" ht="16.5">
      <c r="C577" s="101"/>
      <c r="D577" s="101"/>
      <c r="E577" s="101"/>
      <c r="F577" s="101"/>
      <c r="G577" s="101"/>
      <c r="H577" s="101"/>
      <c r="I577" s="101"/>
      <c r="J577" s="101"/>
      <c r="S577" s="101"/>
      <c r="T577" s="241"/>
      <c r="U577" s="241"/>
      <c r="V577" s="241"/>
      <c r="W577" s="241"/>
      <c r="X577" s="241"/>
      <c r="Y577" s="241"/>
      <c r="Z577" s="252"/>
    </row>
    <row r="578" spans="3:26" ht="16.5">
      <c r="C578" s="101"/>
      <c r="D578" s="101"/>
      <c r="E578" s="101"/>
      <c r="F578" s="101"/>
      <c r="G578" s="101"/>
      <c r="H578" s="101"/>
      <c r="I578" s="101"/>
      <c r="J578" s="101"/>
      <c r="S578" s="101"/>
      <c r="T578" s="241"/>
      <c r="U578" s="241"/>
      <c r="V578" s="241"/>
      <c r="W578" s="241"/>
      <c r="X578" s="241"/>
      <c r="Y578" s="241"/>
      <c r="Z578" s="252"/>
    </row>
    <row r="579" spans="3:26" ht="16.5">
      <c r="C579" s="101"/>
      <c r="D579" s="101"/>
      <c r="E579" s="101"/>
      <c r="F579" s="101"/>
      <c r="G579" s="101"/>
      <c r="H579" s="101"/>
      <c r="I579" s="101"/>
      <c r="J579" s="101"/>
      <c r="S579" s="101"/>
      <c r="T579" s="241"/>
      <c r="U579" s="241"/>
      <c r="V579" s="241"/>
      <c r="W579" s="241"/>
      <c r="X579" s="241"/>
      <c r="Y579" s="241"/>
      <c r="Z579" s="252"/>
    </row>
    <row r="580" spans="3:26" ht="16.5">
      <c r="C580" s="101"/>
      <c r="D580" s="101"/>
      <c r="E580" s="101"/>
      <c r="F580" s="101"/>
      <c r="G580" s="101"/>
      <c r="H580" s="101"/>
      <c r="I580" s="101"/>
      <c r="J580" s="101"/>
      <c r="S580" s="101"/>
      <c r="T580" s="241"/>
      <c r="U580" s="241"/>
      <c r="V580" s="241"/>
      <c r="W580" s="241"/>
      <c r="X580" s="241"/>
      <c r="Y580" s="241"/>
      <c r="Z580" s="252"/>
    </row>
    <row r="581" spans="3:26" ht="16.5">
      <c r="C581" s="101"/>
      <c r="D581" s="101"/>
      <c r="E581" s="101"/>
      <c r="F581" s="101"/>
      <c r="G581" s="101"/>
      <c r="H581" s="101"/>
      <c r="I581" s="101"/>
      <c r="J581" s="101"/>
      <c r="S581" s="101"/>
      <c r="T581" s="241"/>
      <c r="U581" s="241"/>
      <c r="V581" s="241"/>
      <c r="W581" s="241"/>
      <c r="X581" s="241"/>
      <c r="Y581" s="241"/>
      <c r="Z581" s="252"/>
    </row>
    <row r="582" spans="3:26" ht="16.5">
      <c r="C582" s="101"/>
      <c r="D582" s="101"/>
      <c r="E582" s="101"/>
      <c r="F582" s="101"/>
      <c r="G582" s="101"/>
      <c r="H582" s="101"/>
      <c r="I582" s="101"/>
      <c r="J582" s="101"/>
      <c r="S582" s="101"/>
      <c r="T582" s="241"/>
      <c r="U582" s="241"/>
      <c r="V582" s="241"/>
      <c r="W582" s="241"/>
      <c r="X582" s="241"/>
      <c r="Y582" s="241"/>
      <c r="Z582" s="252"/>
    </row>
    <row r="583" spans="3:26" ht="16.5">
      <c r="C583" s="101"/>
      <c r="D583" s="101"/>
      <c r="E583" s="101"/>
      <c r="F583" s="101"/>
      <c r="G583" s="101"/>
      <c r="H583" s="101"/>
      <c r="I583" s="101"/>
      <c r="J583" s="101"/>
      <c r="S583" s="101"/>
      <c r="T583" s="241"/>
      <c r="U583" s="241"/>
      <c r="V583" s="241"/>
      <c r="W583" s="241"/>
      <c r="X583" s="241"/>
      <c r="Y583" s="241"/>
      <c r="Z583" s="252"/>
    </row>
    <row r="584" spans="3:26" ht="16.5">
      <c r="C584" s="101"/>
      <c r="D584" s="101"/>
      <c r="E584" s="101"/>
      <c r="F584" s="101"/>
      <c r="G584" s="101"/>
      <c r="H584" s="101"/>
      <c r="I584" s="101"/>
      <c r="J584" s="101"/>
      <c r="S584" s="101"/>
      <c r="T584" s="241"/>
      <c r="U584" s="241"/>
      <c r="V584" s="241"/>
      <c r="W584" s="241"/>
      <c r="X584" s="241"/>
      <c r="Y584" s="241"/>
      <c r="Z584" s="252"/>
    </row>
    <row r="585" spans="3:26" ht="16.5">
      <c r="C585" s="101"/>
      <c r="D585" s="101"/>
      <c r="E585" s="101"/>
      <c r="F585" s="101"/>
      <c r="G585" s="101"/>
      <c r="H585" s="101"/>
      <c r="I585" s="101"/>
      <c r="J585" s="101"/>
      <c r="S585" s="101"/>
      <c r="T585" s="241"/>
      <c r="U585" s="241"/>
      <c r="V585" s="241"/>
      <c r="W585" s="241"/>
      <c r="X585" s="241"/>
      <c r="Y585" s="241"/>
      <c r="Z585" s="252"/>
    </row>
    <row r="586" spans="3:26" ht="16.5">
      <c r="C586" s="101"/>
      <c r="D586" s="101"/>
      <c r="E586" s="101"/>
      <c r="F586" s="101"/>
      <c r="G586" s="101"/>
      <c r="H586" s="101"/>
      <c r="I586" s="101"/>
      <c r="J586" s="101"/>
      <c r="S586" s="101"/>
      <c r="T586" s="241"/>
      <c r="U586" s="241"/>
      <c r="V586" s="241"/>
      <c r="W586" s="241"/>
      <c r="X586" s="241"/>
      <c r="Y586" s="241"/>
      <c r="Z586" s="252"/>
    </row>
    <row r="587" spans="3:26" ht="16.5">
      <c r="C587" s="101"/>
      <c r="D587" s="101"/>
      <c r="E587" s="101"/>
      <c r="F587" s="101"/>
      <c r="G587" s="101"/>
      <c r="H587" s="101"/>
      <c r="I587" s="101"/>
      <c r="J587" s="101"/>
      <c r="S587" s="101"/>
      <c r="T587" s="241"/>
      <c r="U587" s="241"/>
      <c r="V587" s="241"/>
      <c r="W587" s="241"/>
      <c r="X587" s="241"/>
      <c r="Y587" s="241"/>
      <c r="Z587" s="252"/>
    </row>
    <row r="588" spans="3:26" ht="16.5">
      <c r="C588" s="101"/>
      <c r="D588" s="101"/>
      <c r="E588" s="101"/>
      <c r="F588" s="101"/>
      <c r="G588" s="101"/>
      <c r="H588" s="101"/>
      <c r="I588" s="101"/>
      <c r="J588" s="101"/>
      <c r="S588" s="101"/>
      <c r="T588" s="241"/>
      <c r="U588" s="241"/>
      <c r="V588" s="241"/>
      <c r="W588" s="241"/>
      <c r="X588" s="241"/>
      <c r="Y588" s="241"/>
      <c r="Z588" s="252"/>
    </row>
    <row r="589" spans="3:26" ht="16.5">
      <c r="C589" s="101"/>
      <c r="D589" s="101"/>
      <c r="E589" s="101"/>
      <c r="F589" s="101"/>
      <c r="G589" s="101"/>
      <c r="H589" s="101"/>
      <c r="I589" s="101"/>
      <c r="J589" s="101"/>
      <c r="S589" s="101"/>
      <c r="T589" s="241"/>
      <c r="U589" s="241"/>
      <c r="V589" s="241"/>
      <c r="W589" s="241"/>
      <c r="X589" s="241"/>
      <c r="Y589" s="241"/>
      <c r="Z589" s="252"/>
    </row>
    <row r="590" spans="3:26" ht="16.5">
      <c r="C590" s="101"/>
      <c r="D590" s="101"/>
      <c r="E590" s="101"/>
      <c r="F590" s="101"/>
      <c r="G590" s="101"/>
      <c r="H590" s="101"/>
      <c r="I590" s="101"/>
      <c r="J590" s="101"/>
      <c r="S590" s="101"/>
      <c r="T590" s="241"/>
      <c r="U590" s="241"/>
      <c r="V590" s="241"/>
      <c r="W590" s="241"/>
      <c r="X590" s="241"/>
      <c r="Y590" s="241"/>
      <c r="Z590" s="252"/>
    </row>
    <row r="591" spans="3:26" ht="16.5">
      <c r="C591" s="101"/>
      <c r="D591" s="101"/>
      <c r="E591" s="101"/>
      <c r="F591" s="101"/>
      <c r="G591" s="101"/>
      <c r="H591" s="101"/>
      <c r="I591" s="101"/>
      <c r="J591" s="101"/>
      <c r="S591" s="101"/>
      <c r="T591" s="241"/>
      <c r="U591" s="241"/>
      <c r="V591" s="241"/>
      <c r="W591" s="241"/>
      <c r="X591" s="241"/>
      <c r="Y591" s="241"/>
      <c r="Z591" s="252"/>
    </row>
    <row r="592" spans="3:26" ht="16.5">
      <c r="C592" s="101"/>
      <c r="D592" s="101"/>
      <c r="E592" s="101"/>
      <c r="F592" s="101"/>
      <c r="G592" s="101"/>
      <c r="H592" s="101"/>
      <c r="I592" s="101"/>
      <c r="J592" s="101"/>
      <c r="S592" s="101"/>
      <c r="T592" s="241"/>
      <c r="U592" s="241"/>
      <c r="V592" s="241"/>
      <c r="W592" s="241"/>
      <c r="X592" s="241"/>
      <c r="Y592" s="241"/>
      <c r="Z592" s="252"/>
    </row>
    <row r="593" spans="3:26" ht="16.5">
      <c r="C593" s="101"/>
      <c r="D593" s="101"/>
      <c r="E593" s="101"/>
      <c r="F593" s="101"/>
      <c r="G593" s="101"/>
      <c r="H593" s="101"/>
      <c r="I593" s="101"/>
      <c r="J593" s="101"/>
      <c r="S593" s="101"/>
      <c r="T593" s="241"/>
      <c r="U593" s="241"/>
      <c r="V593" s="241"/>
      <c r="W593" s="241"/>
      <c r="X593" s="241"/>
      <c r="Y593" s="241"/>
      <c r="Z593" s="252"/>
    </row>
    <row r="594" spans="3:26" ht="16.5">
      <c r="C594" s="101"/>
      <c r="D594" s="101"/>
      <c r="E594" s="101"/>
      <c r="F594" s="101"/>
      <c r="G594" s="101"/>
      <c r="H594" s="101"/>
      <c r="I594" s="101"/>
      <c r="J594" s="101"/>
      <c r="S594" s="101"/>
      <c r="T594" s="241"/>
      <c r="U594" s="241"/>
      <c r="V594" s="241"/>
      <c r="W594" s="241"/>
      <c r="X594" s="241"/>
      <c r="Y594" s="241"/>
      <c r="Z594" s="252"/>
    </row>
    <row r="595" spans="3:26" ht="16.5">
      <c r="C595" s="101"/>
      <c r="D595" s="101"/>
      <c r="E595" s="101"/>
      <c r="F595" s="101"/>
      <c r="G595" s="101"/>
      <c r="H595" s="101"/>
      <c r="I595" s="101"/>
      <c r="J595" s="101"/>
      <c r="S595" s="101"/>
      <c r="T595" s="241"/>
      <c r="U595" s="241"/>
      <c r="V595" s="241"/>
      <c r="W595" s="241"/>
      <c r="X595" s="241"/>
      <c r="Y595" s="241"/>
      <c r="Z595" s="252"/>
    </row>
    <row r="596" spans="3:26" ht="16.5">
      <c r="C596" s="101"/>
      <c r="D596" s="101"/>
      <c r="E596" s="101"/>
      <c r="F596" s="101"/>
      <c r="G596" s="101"/>
      <c r="H596" s="101"/>
      <c r="I596" s="101"/>
      <c r="J596" s="101"/>
      <c r="S596" s="101"/>
      <c r="T596" s="241"/>
      <c r="U596" s="241"/>
      <c r="V596" s="241"/>
      <c r="W596" s="241"/>
      <c r="X596" s="241"/>
      <c r="Y596" s="241"/>
      <c r="Z596" s="252"/>
    </row>
    <row r="597" spans="3:26" ht="16.5">
      <c r="C597" s="101"/>
      <c r="D597" s="101"/>
      <c r="E597" s="101"/>
      <c r="F597" s="101"/>
      <c r="G597" s="101"/>
      <c r="H597" s="101"/>
      <c r="I597" s="101"/>
      <c r="J597" s="101"/>
      <c r="S597" s="101"/>
      <c r="T597" s="241"/>
      <c r="U597" s="241"/>
      <c r="V597" s="241"/>
      <c r="W597" s="241"/>
      <c r="X597" s="241"/>
      <c r="Y597" s="241"/>
      <c r="Z597" s="252"/>
    </row>
    <row r="598" spans="3:26" ht="16.5">
      <c r="C598" s="101"/>
      <c r="D598" s="101"/>
      <c r="E598" s="101"/>
      <c r="F598" s="101"/>
      <c r="G598" s="101"/>
      <c r="H598" s="101"/>
      <c r="I598" s="101"/>
      <c r="J598" s="101"/>
      <c r="S598" s="101"/>
      <c r="T598" s="241"/>
      <c r="U598" s="241"/>
      <c r="V598" s="241"/>
      <c r="W598" s="241"/>
      <c r="X598" s="241"/>
      <c r="Y598" s="241"/>
      <c r="Z598" s="252"/>
    </row>
    <row r="599" spans="3:26" ht="16.5">
      <c r="C599" s="101"/>
      <c r="D599" s="101"/>
      <c r="E599" s="101"/>
      <c r="F599" s="101"/>
      <c r="G599" s="101"/>
      <c r="H599" s="101"/>
      <c r="I599" s="101"/>
      <c r="J599" s="101"/>
      <c r="S599" s="101"/>
      <c r="T599" s="241"/>
      <c r="U599" s="241"/>
      <c r="V599" s="241"/>
      <c r="W599" s="241"/>
      <c r="X599" s="241"/>
      <c r="Y599" s="241"/>
      <c r="Z599" s="252"/>
    </row>
    <row r="600" spans="3:26" ht="16.5">
      <c r="C600" s="101"/>
      <c r="D600" s="101"/>
      <c r="E600" s="101"/>
      <c r="F600" s="101"/>
      <c r="G600" s="101"/>
      <c r="H600" s="101"/>
      <c r="I600" s="101"/>
      <c r="J600" s="101"/>
      <c r="S600" s="101"/>
      <c r="T600" s="241"/>
      <c r="U600" s="241"/>
      <c r="V600" s="241"/>
      <c r="W600" s="241"/>
      <c r="X600" s="241"/>
      <c r="Y600" s="241"/>
      <c r="Z600" s="252"/>
    </row>
    <row r="601" spans="3:26" ht="16.5">
      <c r="C601" s="101"/>
      <c r="D601" s="101"/>
      <c r="E601" s="101"/>
      <c r="F601" s="101"/>
      <c r="G601" s="101"/>
      <c r="H601" s="101"/>
      <c r="I601" s="101"/>
      <c r="J601" s="101"/>
      <c r="S601" s="101"/>
      <c r="T601" s="241"/>
      <c r="U601" s="241"/>
      <c r="V601" s="241"/>
      <c r="W601" s="241"/>
      <c r="X601" s="241"/>
      <c r="Y601" s="241"/>
      <c r="Z601" s="252"/>
    </row>
    <row r="602" spans="3:26" ht="16.5">
      <c r="C602" s="101"/>
      <c r="D602" s="101"/>
      <c r="E602" s="101"/>
      <c r="F602" s="101"/>
      <c r="G602" s="101"/>
      <c r="H602" s="101"/>
      <c r="I602" s="101"/>
      <c r="J602" s="101"/>
      <c r="S602" s="101"/>
      <c r="T602" s="241"/>
      <c r="U602" s="241"/>
      <c r="V602" s="241"/>
      <c r="W602" s="241"/>
      <c r="X602" s="241"/>
      <c r="Y602" s="241"/>
      <c r="Z602" s="252"/>
    </row>
    <row r="603" spans="3:26" ht="16.5">
      <c r="C603" s="101"/>
      <c r="D603" s="101"/>
      <c r="E603" s="101"/>
      <c r="F603" s="101"/>
      <c r="G603" s="101"/>
      <c r="H603" s="101"/>
      <c r="I603" s="101"/>
      <c r="J603" s="101"/>
      <c r="S603" s="101"/>
      <c r="T603" s="241"/>
      <c r="U603" s="241"/>
      <c r="V603" s="241"/>
      <c r="W603" s="241"/>
      <c r="X603" s="241"/>
      <c r="Y603" s="241"/>
      <c r="Z603" s="252"/>
    </row>
    <row r="604" spans="3:26" ht="16.5">
      <c r="C604" s="101"/>
      <c r="D604" s="101"/>
      <c r="E604" s="101"/>
      <c r="F604" s="101"/>
      <c r="G604" s="101"/>
      <c r="H604" s="101"/>
      <c r="I604" s="101"/>
      <c r="J604" s="101"/>
      <c r="S604" s="101"/>
      <c r="T604" s="241"/>
      <c r="U604" s="241"/>
      <c r="V604" s="241"/>
      <c r="W604" s="241"/>
      <c r="X604" s="241"/>
      <c r="Y604" s="241"/>
      <c r="Z604" s="252"/>
    </row>
    <row r="605" spans="3:26" ht="16.5">
      <c r="C605" s="101"/>
      <c r="D605" s="101"/>
      <c r="E605" s="101"/>
      <c r="F605" s="101"/>
      <c r="G605" s="101"/>
      <c r="H605" s="101"/>
      <c r="I605" s="101"/>
      <c r="J605" s="101"/>
      <c r="S605" s="101"/>
      <c r="T605" s="241"/>
      <c r="U605" s="241"/>
      <c r="V605" s="241"/>
      <c r="W605" s="241"/>
      <c r="X605" s="241"/>
      <c r="Y605" s="241"/>
      <c r="Z605" s="252"/>
    </row>
    <row r="606" spans="3:26" ht="16.5">
      <c r="C606" s="101"/>
      <c r="D606" s="101"/>
      <c r="E606" s="101"/>
      <c r="F606" s="101"/>
      <c r="G606" s="101"/>
      <c r="H606" s="101"/>
      <c r="I606" s="101"/>
      <c r="J606" s="101"/>
      <c r="S606" s="101"/>
      <c r="T606" s="241"/>
      <c r="U606" s="241"/>
      <c r="V606" s="241"/>
      <c r="W606" s="241"/>
      <c r="X606" s="241"/>
      <c r="Y606" s="241"/>
      <c r="Z606" s="252"/>
    </row>
    <row r="607" spans="3:26" ht="16.5">
      <c r="C607" s="101"/>
      <c r="D607" s="101"/>
      <c r="E607" s="101"/>
      <c r="F607" s="101"/>
      <c r="G607" s="101"/>
      <c r="H607" s="101"/>
      <c r="I607" s="101"/>
      <c r="J607" s="101"/>
      <c r="S607" s="101"/>
      <c r="T607" s="241"/>
      <c r="U607" s="241"/>
      <c r="V607" s="241"/>
      <c r="W607" s="241"/>
      <c r="X607" s="241"/>
      <c r="Y607" s="241"/>
      <c r="Z607" s="252"/>
    </row>
    <row r="608" spans="3:26" ht="16.5">
      <c r="C608" s="101"/>
      <c r="D608" s="101"/>
      <c r="E608" s="101"/>
      <c r="F608" s="101"/>
      <c r="G608" s="101"/>
      <c r="H608" s="101"/>
      <c r="I608" s="101"/>
      <c r="J608" s="101"/>
      <c r="S608" s="101"/>
      <c r="T608" s="241"/>
      <c r="U608" s="241"/>
      <c r="V608" s="241"/>
      <c r="W608" s="241"/>
      <c r="X608" s="241"/>
      <c r="Y608" s="241"/>
      <c r="Z608" s="252"/>
    </row>
    <row r="609" spans="3:26" ht="16.5">
      <c r="C609" s="101"/>
      <c r="D609" s="101"/>
      <c r="E609" s="101"/>
      <c r="F609" s="101"/>
      <c r="G609" s="101"/>
      <c r="H609" s="101"/>
      <c r="I609" s="101"/>
      <c r="J609" s="101"/>
      <c r="S609" s="101"/>
      <c r="T609" s="241"/>
      <c r="U609" s="241"/>
      <c r="V609" s="241"/>
      <c r="W609" s="241"/>
      <c r="X609" s="241"/>
      <c r="Y609" s="241"/>
      <c r="Z609" s="252"/>
    </row>
    <row r="610" spans="3:26" ht="16.5">
      <c r="C610" s="101"/>
      <c r="D610" s="101"/>
      <c r="E610" s="101"/>
      <c r="F610" s="101"/>
      <c r="G610" s="101"/>
      <c r="H610" s="101"/>
      <c r="I610" s="101"/>
      <c r="J610" s="101"/>
      <c r="S610" s="101"/>
      <c r="T610" s="241"/>
      <c r="U610" s="241"/>
      <c r="V610" s="241"/>
      <c r="W610" s="241"/>
      <c r="X610" s="241"/>
      <c r="Y610" s="241"/>
      <c r="Z610" s="252"/>
    </row>
    <row r="611" spans="3:26" ht="16.5">
      <c r="C611" s="101"/>
      <c r="D611" s="101"/>
      <c r="E611" s="101"/>
      <c r="F611" s="101"/>
      <c r="G611" s="101"/>
      <c r="H611" s="101"/>
      <c r="I611" s="101"/>
      <c r="J611" s="101"/>
      <c r="S611" s="101"/>
      <c r="T611" s="241"/>
      <c r="U611" s="241"/>
      <c r="V611" s="241"/>
      <c r="W611" s="241"/>
      <c r="X611" s="241"/>
      <c r="Y611" s="241"/>
      <c r="Z611" s="252"/>
    </row>
    <row r="612" spans="3:26" ht="16.5">
      <c r="C612" s="101"/>
      <c r="D612" s="101"/>
      <c r="E612" s="101"/>
      <c r="F612" s="101"/>
      <c r="G612" s="101"/>
      <c r="H612" s="101"/>
      <c r="I612" s="101"/>
      <c r="J612" s="101"/>
      <c r="S612" s="101"/>
      <c r="T612" s="241"/>
      <c r="U612" s="241"/>
      <c r="V612" s="241"/>
      <c r="W612" s="241"/>
      <c r="X612" s="241"/>
      <c r="Y612" s="241"/>
      <c r="Z612" s="252"/>
    </row>
    <row r="613" spans="3:26" ht="16.5">
      <c r="C613" s="101"/>
      <c r="D613" s="101"/>
      <c r="E613" s="101"/>
      <c r="F613" s="101"/>
      <c r="G613" s="101"/>
      <c r="H613" s="101"/>
      <c r="I613" s="101"/>
      <c r="J613" s="101"/>
      <c r="S613" s="101"/>
      <c r="T613" s="241"/>
      <c r="U613" s="241"/>
      <c r="V613" s="241"/>
      <c r="W613" s="241"/>
      <c r="X613" s="241"/>
      <c r="Y613" s="241"/>
      <c r="Z613" s="252"/>
    </row>
    <row r="614" spans="3:26" ht="16.5">
      <c r="C614" s="101"/>
      <c r="D614" s="101"/>
      <c r="E614" s="101"/>
      <c r="F614" s="101"/>
      <c r="G614" s="101"/>
      <c r="H614" s="101"/>
      <c r="I614" s="101"/>
      <c r="J614" s="101"/>
      <c r="S614" s="101"/>
      <c r="T614" s="241"/>
      <c r="U614" s="241"/>
      <c r="V614" s="241"/>
      <c r="W614" s="241"/>
      <c r="X614" s="241"/>
      <c r="Y614" s="241"/>
      <c r="Z614" s="252"/>
    </row>
    <row r="615" spans="3:26" ht="16.5">
      <c r="C615" s="101"/>
      <c r="D615" s="101"/>
      <c r="E615" s="101"/>
      <c r="F615" s="101"/>
      <c r="G615" s="101"/>
      <c r="H615" s="101"/>
      <c r="I615" s="101"/>
      <c r="J615" s="101"/>
      <c r="S615" s="101"/>
      <c r="T615" s="241"/>
      <c r="U615" s="241"/>
      <c r="V615" s="241"/>
      <c r="W615" s="241"/>
      <c r="X615" s="241"/>
      <c r="Y615" s="241"/>
      <c r="Z615" s="252"/>
    </row>
    <row r="616" spans="3:26" ht="16.5">
      <c r="C616" s="101"/>
      <c r="D616" s="101"/>
      <c r="E616" s="101"/>
      <c r="F616" s="101"/>
      <c r="G616" s="101"/>
      <c r="H616" s="101"/>
      <c r="I616" s="101"/>
      <c r="J616" s="101"/>
      <c r="S616" s="101"/>
      <c r="T616" s="241"/>
      <c r="U616" s="241"/>
      <c r="V616" s="241"/>
      <c r="W616" s="241"/>
      <c r="X616" s="241"/>
      <c r="Y616" s="241"/>
      <c r="Z616" s="252"/>
    </row>
    <row r="617" spans="3:26" ht="16.5">
      <c r="C617" s="101"/>
      <c r="D617" s="101"/>
      <c r="E617" s="101"/>
      <c r="F617" s="101"/>
      <c r="G617" s="101"/>
      <c r="H617" s="101"/>
      <c r="I617" s="101"/>
      <c r="J617" s="101"/>
      <c r="S617" s="101"/>
      <c r="T617" s="241"/>
      <c r="U617" s="241"/>
      <c r="V617" s="241"/>
      <c r="W617" s="241"/>
      <c r="X617" s="241"/>
      <c r="Y617" s="241"/>
      <c r="Z617" s="252"/>
    </row>
    <row r="618" spans="3:26" ht="16.5">
      <c r="C618" s="101"/>
      <c r="D618" s="101"/>
      <c r="E618" s="101"/>
      <c r="F618" s="101"/>
      <c r="G618" s="101"/>
      <c r="H618" s="101"/>
      <c r="I618" s="101"/>
      <c r="J618" s="101"/>
      <c r="S618" s="101"/>
      <c r="T618" s="241"/>
      <c r="U618" s="241"/>
      <c r="V618" s="241"/>
      <c r="W618" s="241"/>
      <c r="X618" s="241"/>
      <c r="Y618" s="241"/>
      <c r="Z618" s="252"/>
    </row>
    <row r="619" spans="3:26" ht="16.5">
      <c r="C619" s="101"/>
      <c r="D619" s="101"/>
      <c r="E619" s="101"/>
      <c r="F619" s="101"/>
      <c r="G619" s="101"/>
      <c r="H619" s="101"/>
      <c r="I619" s="101"/>
      <c r="J619" s="101"/>
      <c r="S619" s="101"/>
      <c r="T619" s="241"/>
      <c r="U619" s="241"/>
      <c r="V619" s="241"/>
      <c r="W619" s="241"/>
      <c r="X619" s="241"/>
      <c r="Y619" s="241"/>
      <c r="Z619" s="252"/>
    </row>
    <row r="620" spans="3:26" ht="16.5">
      <c r="C620" s="101"/>
      <c r="D620" s="101"/>
      <c r="E620" s="101"/>
      <c r="F620" s="101"/>
      <c r="G620" s="101"/>
      <c r="H620" s="101"/>
      <c r="I620" s="101"/>
      <c r="J620" s="101"/>
      <c r="S620" s="101"/>
      <c r="T620" s="241"/>
      <c r="U620" s="241"/>
      <c r="V620" s="241"/>
      <c r="W620" s="241"/>
      <c r="X620" s="241"/>
      <c r="Y620" s="241"/>
      <c r="Z620" s="252"/>
    </row>
    <row r="621" spans="3:26" ht="16.5">
      <c r="C621" s="101"/>
      <c r="D621" s="101"/>
      <c r="E621" s="101"/>
      <c r="F621" s="101"/>
      <c r="G621" s="101"/>
      <c r="H621" s="101"/>
      <c r="I621" s="101"/>
      <c r="J621" s="101"/>
      <c r="S621" s="101"/>
      <c r="T621" s="241"/>
      <c r="U621" s="241"/>
      <c r="V621" s="241"/>
      <c r="W621" s="241"/>
      <c r="X621" s="241"/>
      <c r="Y621" s="241"/>
      <c r="Z621" s="252"/>
    </row>
    <row r="622" spans="3:26" ht="16.5">
      <c r="C622" s="101"/>
      <c r="D622" s="101"/>
      <c r="E622" s="101"/>
      <c r="F622" s="101"/>
      <c r="G622" s="101"/>
      <c r="H622" s="101"/>
      <c r="I622" s="101"/>
      <c r="J622" s="101"/>
      <c r="S622" s="101"/>
      <c r="T622" s="241"/>
      <c r="U622" s="241"/>
      <c r="V622" s="241"/>
      <c r="W622" s="241"/>
      <c r="X622" s="241"/>
      <c r="Y622" s="241"/>
      <c r="Z622" s="252"/>
    </row>
    <row r="623" spans="3:26" ht="16.5">
      <c r="C623" s="101"/>
      <c r="D623" s="101"/>
      <c r="E623" s="101"/>
      <c r="F623" s="101"/>
      <c r="G623" s="101"/>
      <c r="H623" s="101"/>
      <c r="I623" s="101"/>
      <c r="J623" s="101"/>
      <c r="S623" s="101"/>
      <c r="T623" s="241"/>
      <c r="U623" s="241"/>
      <c r="V623" s="241"/>
      <c r="W623" s="241"/>
      <c r="X623" s="241"/>
      <c r="Y623" s="241"/>
      <c r="Z623" s="252"/>
    </row>
    <row r="624" spans="3:26" ht="16.5">
      <c r="C624" s="101"/>
      <c r="D624" s="101"/>
      <c r="E624" s="101"/>
      <c r="F624" s="101"/>
      <c r="G624" s="101"/>
      <c r="H624" s="101"/>
      <c r="I624" s="101"/>
      <c r="J624" s="101"/>
      <c r="S624" s="101"/>
      <c r="T624" s="241"/>
      <c r="U624" s="241"/>
      <c r="V624" s="241"/>
      <c r="W624" s="241"/>
      <c r="X624" s="241"/>
      <c r="Y624" s="241"/>
      <c r="Z624" s="252"/>
    </row>
    <row r="625" spans="3:26" ht="16.5">
      <c r="C625" s="101"/>
      <c r="D625" s="101"/>
      <c r="E625" s="101"/>
      <c r="F625" s="101"/>
      <c r="G625" s="101"/>
      <c r="H625" s="101"/>
      <c r="I625" s="101"/>
      <c r="J625" s="101"/>
      <c r="S625" s="101"/>
      <c r="T625" s="241"/>
      <c r="U625" s="241"/>
      <c r="V625" s="241"/>
      <c r="W625" s="241"/>
      <c r="X625" s="241"/>
      <c r="Y625" s="241"/>
      <c r="Z625" s="252"/>
    </row>
    <row r="626" spans="3:26" ht="16.5">
      <c r="C626" s="101"/>
      <c r="D626" s="101"/>
      <c r="E626" s="101"/>
      <c r="F626" s="101"/>
      <c r="G626" s="101"/>
      <c r="H626" s="101"/>
      <c r="I626" s="101"/>
      <c r="J626" s="101"/>
      <c r="S626" s="101"/>
      <c r="T626" s="241"/>
      <c r="U626" s="241"/>
      <c r="V626" s="241"/>
      <c r="W626" s="241"/>
      <c r="X626" s="241"/>
      <c r="Y626" s="241"/>
      <c r="Z626" s="252"/>
    </row>
    <row r="627" spans="3:26" ht="16.5">
      <c r="C627" s="101"/>
      <c r="D627" s="101"/>
      <c r="E627" s="101"/>
      <c r="F627" s="101"/>
      <c r="G627" s="101"/>
      <c r="H627" s="101"/>
      <c r="I627" s="101"/>
      <c r="J627" s="101"/>
      <c r="S627" s="101"/>
      <c r="T627" s="241"/>
      <c r="U627" s="241"/>
      <c r="V627" s="241"/>
      <c r="W627" s="241"/>
      <c r="X627" s="241"/>
      <c r="Y627" s="241"/>
      <c r="Z627" s="252"/>
    </row>
    <row r="628" spans="3:26" ht="16.5">
      <c r="C628" s="101"/>
      <c r="D628" s="101"/>
      <c r="E628" s="101"/>
      <c r="F628" s="101"/>
      <c r="G628" s="101"/>
      <c r="H628" s="101"/>
      <c r="I628" s="101"/>
      <c r="J628" s="101"/>
      <c r="S628" s="101"/>
      <c r="T628" s="241"/>
      <c r="U628" s="241"/>
      <c r="V628" s="241"/>
      <c r="W628" s="241"/>
      <c r="X628" s="241"/>
      <c r="Y628" s="241"/>
      <c r="Z628" s="252"/>
    </row>
    <row r="629" spans="3:26" ht="16.5">
      <c r="C629" s="101"/>
      <c r="D629" s="101"/>
      <c r="E629" s="101"/>
      <c r="F629" s="101"/>
      <c r="G629" s="101"/>
      <c r="H629" s="101"/>
      <c r="I629" s="101"/>
      <c r="J629" s="101"/>
      <c r="S629" s="101"/>
      <c r="T629" s="241"/>
      <c r="U629" s="241"/>
      <c r="V629" s="241"/>
      <c r="W629" s="241"/>
      <c r="X629" s="241"/>
      <c r="Y629" s="241"/>
      <c r="Z629" s="252"/>
    </row>
    <row r="630" spans="3:26" ht="16.5">
      <c r="C630" s="101"/>
      <c r="D630" s="101"/>
      <c r="E630" s="101"/>
      <c r="F630" s="101"/>
      <c r="G630" s="101"/>
      <c r="H630" s="101"/>
      <c r="I630" s="101"/>
      <c r="J630" s="101"/>
      <c r="S630" s="101"/>
      <c r="T630" s="241"/>
      <c r="U630" s="241"/>
      <c r="V630" s="241"/>
      <c r="W630" s="241"/>
      <c r="X630" s="241"/>
      <c r="Y630" s="241"/>
      <c r="Z630" s="252"/>
    </row>
    <row r="631" spans="3:26" ht="16.5">
      <c r="C631" s="101"/>
      <c r="D631" s="101"/>
      <c r="E631" s="101"/>
      <c r="F631" s="101"/>
      <c r="G631" s="101"/>
      <c r="H631" s="101"/>
      <c r="I631" s="101"/>
      <c r="J631" s="101"/>
      <c r="S631" s="101"/>
      <c r="T631" s="241"/>
      <c r="U631" s="241"/>
      <c r="V631" s="241"/>
      <c r="W631" s="241"/>
      <c r="X631" s="241"/>
      <c r="Y631" s="241"/>
      <c r="Z631" s="252"/>
    </row>
    <row r="632" spans="3:26" ht="16.5">
      <c r="C632" s="101"/>
      <c r="D632" s="101"/>
      <c r="E632" s="101"/>
      <c r="F632" s="101"/>
      <c r="G632" s="101"/>
      <c r="H632" s="101"/>
      <c r="I632" s="101"/>
      <c r="J632" s="101"/>
      <c r="S632" s="101"/>
      <c r="T632" s="241"/>
      <c r="U632" s="241"/>
      <c r="V632" s="241"/>
      <c r="W632" s="241"/>
      <c r="X632" s="241"/>
      <c r="Y632" s="241"/>
      <c r="Z632" s="252"/>
    </row>
    <row r="633" spans="3:26" ht="16.5">
      <c r="C633" s="101"/>
      <c r="D633" s="101"/>
      <c r="E633" s="101"/>
      <c r="F633" s="101"/>
      <c r="G633" s="101"/>
      <c r="H633" s="101"/>
      <c r="I633" s="101"/>
      <c r="J633" s="101"/>
      <c r="S633" s="101"/>
      <c r="T633" s="241"/>
      <c r="U633" s="241"/>
      <c r="V633" s="241"/>
      <c r="W633" s="241"/>
      <c r="X633" s="241"/>
      <c r="Y633" s="241"/>
      <c r="Z633" s="252"/>
    </row>
    <row r="634" spans="3:26" ht="16.5">
      <c r="C634" s="101"/>
      <c r="D634" s="101"/>
      <c r="E634" s="101"/>
      <c r="F634" s="101"/>
      <c r="G634" s="101"/>
      <c r="H634" s="101"/>
      <c r="I634" s="101"/>
      <c r="J634" s="101"/>
      <c r="S634" s="101"/>
      <c r="T634" s="241"/>
      <c r="U634" s="241"/>
      <c r="V634" s="241"/>
      <c r="W634" s="241"/>
      <c r="X634" s="241"/>
      <c r="Y634" s="241"/>
      <c r="Z634" s="252"/>
    </row>
    <row r="635" spans="3:26" ht="16.5">
      <c r="C635" s="101"/>
      <c r="D635" s="101"/>
      <c r="E635" s="101"/>
      <c r="F635" s="101"/>
      <c r="G635" s="101"/>
      <c r="H635" s="101"/>
      <c r="I635" s="101"/>
      <c r="J635" s="101"/>
      <c r="S635" s="101"/>
      <c r="T635" s="241"/>
      <c r="U635" s="241"/>
      <c r="V635" s="241"/>
      <c r="W635" s="241"/>
      <c r="X635" s="241"/>
      <c r="Y635" s="241"/>
      <c r="Z635" s="252"/>
    </row>
    <row r="636" spans="3:26" ht="16.5">
      <c r="C636" s="101"/>
      <c r="D636" s="101"/>
      <c r="E636" s="101"/>
      <c r="F636" s="101"/>
      <c r="G636" s="101"/>
      <c r="H636" s="101"/>
      <c r="I636" s="101"/>
      <c r="J636" s="101"/>
      <c r="S636" s="101"/>
      <c r="T636" s="241"/>
      <c r="U636" s="241"/>
      <c r="V636" s="241"/>
      <c r="W636" s="241"/>
      <c r="X636" s="241"/>
      <c r="Y636" s="241"/>
      <c r="Z636" s="252"/>
    </row>
    <row r="637" spans="3:26" ht="16.5">
      <c r="C637" s="101"/>
      <c r="D637" s="101"/>
      <c r="E637" s="101"/>
      <c r="F637" s="101"/>
      <c r="G637" s="101"/>
      <c r="H637" s="101"/>
      <c r="I637" s="101"/>
      <c r="J637" s="101"/>
      <c r="S637" s="101"/>
      <c r="T637" s="241"/>
      <c r="U637" s="241"/>
      <c r="V637" s="241"/>
      <c r="W637" s="241"/>
      <c r="X637" s="241"/>
      <c r="Y637" s="241"/>
      <c r="Z637" s="252"/>
    </row>
    <row r="638" spans="3:26" ht="16.5">
      <c r="C638" s="101"/>
      <c r="D638" s="101"/>
      <c r="E638" s="101"/>
      <c r="F638" s="101"/>
      <c r="G638" s="101"/>
      <c r="H638" s="101"/>
      <c r="I638" s="101"/>
      <c r="J638" s="101"/>
      <c r="S638" s="101"/>
      <c r="T638" s="241"/>
      <c r="U638" s="241"/>
      <c r="V638" s="241"/>
      <c r="W638" s="241"/>
      <c r="X638" s="241"/>
      <c r="Y638" s="241"/>
      <c r="Z638" s="252"/>
    </row>
    <row r="639" spans="3:26" ht="16.5">
      <c r="C639" s="101"/>
      <c r="D639" s="101"/>
      <c r="E639" s="101"/>
      <c r="F639" s="101"/>
      <c r="G639" s="101"/>
      <c r="H639" s="101"/>
      <c r="I639" s="101"/>
      <c r="J639" s="101"/>
      <c r="S639" s="101"/>
      <c r="T639" s="241"/>
      <c r="U639" s="241"/>
      <c r="V639" s="241"/>
      <c r="W639" s="241"/>
      <c r="X639" s="241"/>
      <c r="Y639" s="241"/>
      <c r="Z639" s="252"/>
    </row>
    <row r="640" spans="3:26" ht="16.5">
      <c r="C640" s="101"/>
      <c r="D640" s="101"/>
      <c r="E640" s="101"/>
      <c r="F640" s="101"/>
      <c r="G640" s="101"/>
      <c r="H640" s="101"/>
      <c r="I640" s="101"/>
      <c r="J640" s="101"/>
      <c r="S640" s="101"/>
      <c r="T640" s="241"/>
      <c r="U640" s="241"/>
      <c r="V640" s="241"/>
      <c r="W640" s="241"/>
      <c r="X640" s="241"/>
      <c r="Y640" s="241"/>
      <c r="Z640" s="252"/>
    </row>
    <row r="641" spans="3:26" ht="16.5">
      <c r="C641" s="101"/>
      <c r="D641" s="101"/>
      <c r="E641" s="101"/>
      <c r="F641" s="101"/>
      <c r="G641" s="101"/>
      <c r="H641" s="101"/>
      <c r="I641" s="101"/>
      <c r="J641" s="101"/>
      <c r="S641" s="101"/>
      <c r="T641" s="241"/>
      <c r="U641" s="241"/>
      <c r="V641" s="241"/>
      <c r="W641" s="241"/>
      <c r="X641" s="241"/>
      <c r="Y641" s="241"/>
      <c r="Z641" s="252"/>
    </row>
    <row r="642" spans="3:26" ht="16.5">
      <c r="C642" s="101"/>
      <c r="D642" s="101"/>
      <c r="E642" s="101"/>
      <c r="F642" s="101"/>
      <c r="G642" s="101"/>
      <c r="H642" s="101"/>
      <c r="I642" s="101"/>
      <c r="J642" s="101"/>
      <c r="S642" s="101"/>
      <c r="T642" s="241"/>
      <c r="U642" s="241"/>
      <c r="V642" s="241"/>
      <c r="W642" s="241"/>
      <c r="X642" s="241"/>
      <c r="Y642" s="241"/>
      <c r="Z642" s="252"/>
    </row>
    <row r="643" spans="3:26" ht="16.5">
      <c r="C643" s="101"/>
      <c r="D643" s="101"/>
      <c r="E643" s="101"/>
      <c r="F643" s="101"/>
      <c r="G643" s="101"/>
      <c r="H643" s="101"/>
      <c r="I643" s="101"/>
      <c r="J643" s="101"/>
      <c r="S643" s="101"/>
      <c r="T643" s="241"/>
      <c r="U643" s="241"/>
      <c r="V643" s="241"/>
      <c r="W643" s="241"/>
      <c r="X643" s="241"/>
      <c r="Y643" s="241"/>
      <c r="Z643" s="252"/>
    </row>
    <row r="644" spans="3:26" ht="16.5">
      <c r="C644" s="101"/>
      <c r="D644" s="101"/>
      <c r="E644" s="101"/>
      <c r="F644" s="101"/>
      <c r="G644" s="101"/>
      <c r="H644" s="101"/>
      <c r="I644" s="101"/>
      <c r="J644" s="101"/>
      <c r="S644" s="101"/>
      <c r="T644" s="241"/>
      <c r="U644" s="241"/>
      <c r="V644" s="241"/>
      <c r="W644" s="241"/>
      <c r="X644" s="241"/>
      <c r="Y644" s="241"/>
      <c r="Z644" s="252"/>
    </row>
    <row r="645" spans="3:26" ht="16.5">
      <c r="C645" s="101"/>
      <c r="D645" s="101"/>
      <c r="E645" s="101"/>
      <c r="F645" s="101"/>
      <c r="G645" s="101"/>
      <c r="H645" s="101"/>
      <c r="I645" s="101"/>
      <c r="J645" s="101"/>
      <c r="S645" s="101"/>
      <c r="T645" s="241"/>
      <c r="U645" s="241"/>
      <c r="V645" s="241"/>
      <c r="W645" s="241"/>
      <c r="X645" s="241"/>
      <c r="Y645" s="241"/>
      <c r="Z645" s="252"/>
    </row>
    <row r="646" spans="3:26" ht="16.5">
      <c r="C646" s="101"/>
      <c r="D646" s="101"/>
      <c r="E646" s="101"/>
      <c r="F646" s="101"/>
      <c r="G646" s="101"/>
      <c r="H646" s="101"/>
      <c r="I646" s="101"/>
      <c r="J646" s="101"/>
      <c r="S646" s="101"/>
      <c r="T646" s="241"/>
      <c r="U646" s="241"/>
      <c r="V646" s="241"/>
      <c r="W646" s="241"/>
      <c r="X646" s="241"/>
      <c r="Y646" s="241"/>
      <c r="Z646" s="252"/>
    </row>
    <row r="647" spans="3:26" ht="16.5">
      <c r="C647" s="101"/>
      <c r="D647" s="101"/>
      <c r="E647" s="101"/>
      <c r="F647" s="101"/>
      <c r="G647" s="101"/>
      <c r="H647" s="101"/>
      <c r="I647" s="101"/>
      <c r="J647" s="101"/>
      <c r="S647" s="101"/>
      <c r="T647" s="241"/>
      <c r="U647" s="241"/>
      <c r="V647" s="241"/>
      <c r="W647" s="241"/>
      <c r="X647" s="241"/>
      <c r="Y647" s="241"/>
      <c r="Z647" s="252"/>
    </row>
    <row r="648" spans="3:26" ht="16.5">
      <c r="C648" s="101"/>
      <c r="D648" s="101"/>
      <c r="E648" s="101"/>
      <c r="F648" s="101"/>
      <c r="G648" s="101"/>
      <c r="H648" s="101"/>
      <c r="I648" s="101"/>
      <c r="J648" s="101"/>
      <c r="S648" s="101"/>
      <c r="T648" s="241"/>
      <c r="U648" s="241"/>
      <c r="V648" s="241"/>
      <c r="W648" s="241"/>
      <c r="X648" s="241"/>
      <c r="Y648" s="241"/>
      <c r="Z648" s="252"/>
    </row>
    <row r="649" spans="3:26" ht="16.5">
      <c r="C649" s="101"/>
      <c r="D649" s="101"/>
      <c r="E649" s="101"/>
      <c r="F649" s="101"/>
      <c r="G649" s="101"/>
      <c r="H649" s="101"/>
      <c r="I649" s="101"/>
      <c r="J649" s="101"/>
      <c r="S649" s="101"/>
      <c r="T649" s="241"/>
      <c r="U649" s="241"/>
      <c r="V649" s="241"/>
      <c r="W649" s="241"/>
      <c r="X649" s="241"/>
      <c r="Y649" s="241"/>
      <c r="Z649" s="252"/>
    </row>
    <row r="650" spans="3:26" ht="16.5">
      <c r="C650" s="101"/>
      <c r="D650" s="101"/>
      <c r="E650" s="101"/>
      <c r="F650" s="101"/>
      <c r="G650" s="101"/>
      <c r="H650" s="101"/>
      <c r="I650" s="101"/>
      <c r="J650" s="101"/>
      <c r="S650" s="101"/>
      <c r="T650" s="241"/>
      <c r="U650" s="241"/>
      <c r="V650" s="241"/>
      <c r="W650" s="241"/>
      <c r="X650" s="241"/>
      <c r="Y650" s="241"/>
      <c r="Z650" s="252"/>
    </row>
    <row r="651" spans="3:26" ht="16.5">
      <c r="C651" s="101"/>
      <c r="D651" s="101"/>
      <c r="E651" s="101"/>
      <c r="F651" s="101"/>
      <c r="G651" s="101"/>
      <c r="H651" s="101"/>
      <c r="I651" s="101"/>
      <c r="J651" s="101"/>
      <c r="S651" s="101"/>
      <c r="T651" s="241"/>
      <c r="U651" s="241"/>
      <c r="V651" s="241"/>
      <c r="W651" s="241"/>
      <c r="X651" s="241"/>
      <c r="Y651" s="241"/>
      <c r="Z651" s="252"/>
    </row>
    <row r="652" spans="3:26" ht="16.5">
      <c r="C652" s="101"/>
      <c r="D652" s="101"/>
      <c r="E652" s="101"/>
      <c r="F652" s="101"/>
      <c r="G652" s="101"/>
      <c r="H652" s="101"/>
      <c r="I652" s="101"/>
      <c r="J652" s="101"/>
      <c r="S652" s="101"/>
      <c r="T652" s="241"/>
      <c r="U652" s="241"/>
      <c r="V652" s="241"/>
      <c r="W652" s="241"/>
      <c r="X652" s="241"/>
      <c r="Y652" s="241"/>
      <c r="Z652" s="252"/>
    </row>
    <row r="653" spans="3:26" ht="16.5">
      <c r="C653" s="101"/>
      <c r="D653" s="101"/>
      <c r="E653" s="101"/>
      <c r="F653" s="101"/>
      <c r="G653" s="101"/>
      <c r="H653" s="101"/>
      <c r="I653" s="101"/>
      <c r="J653" s="101"/>
      <c r="S653" s="101"/>
      <c r="T653" s="241"/>
      <c r="U653" s="241"/>
      <c r="V653" s="241"/>
      <c r="W653" s="241"/>
      <c r="X653" s="241"/>
      <c r="Y653" s="241"/>
      <c r="Z653" s="252"/>
    </row>
    <row r="654" spans="3:26" ht="16.5">
      <c r="C654" s="101"/>
      <c r="D654" s="101"/>
      <c r="E654" s="101"/>
      <c r="F654" s="101"/>
      <c r="G654" s="101"/>
      <c r="H654" s="101"/>
      <c r="I654" s="101"/>
      <c r="J654" s="101"/>
      <c r="S654" s="101"/>
      <c r="T654" s="241"/>
      <c r="U654" s="241"/>
      <c r="V654" s="241"/>
      <c r="W654" s="241"/>
      <c r="X654" s="241"/>
      <c r="Y654" s="241"/>
      <c r="Z654" s="252"/>
    </row>
    <row r="655" spans="3:26" ht="16.5">
      <c r="C655" s="101"/>
      <c r="D655" s="101"/>
      <c r="E655" s="101"/>
      <c r="F655" s="101"/>
      <c r="G655" s="101"/>
      <c r="H655" s="101"/>
      <c r="I655" s="101"/>
      <c r="J655" s="101"/>
      <c r="S655" s="101"/>
      <c r="T655" s="241"/>
      <c r="U655" s="241"/>
      <c r="V655" s="241"/>
      <c r="W655" s="241"/>
      <c r="X655" s="241"/>
      <c r="Y655" s="241"/>
      <c r="Z655" s="252"/>
    </row>
    <row r="656" spans="3:26" ht="16.5">
      <c r="C656" s="101"/>
      <c r="D656" s="101"/>
      <c r="E656" s="101"/>
      <c r="F656" s="101"/>
      <c r="G656" s="101"/>
      <c r="H656" s="101"/>
      <c r="I656" s="101"/>
      <c r="J656" s="101"/>
      <c r="S656" s="101"/>
      <c r="T656" s="241"/>
      <c r="U656" s="241"/>
      <c r="V656" s="241"/>
      <c r="W656" s="241"/>
      <c r="X656" s="241"/>
      <c r="Y656" s="241"/>
      <c r="Z656" s="252"/>
    </row>
    <row r="657" spans="3:26" ht="16.5">
      <c r="C657" s="101"/>
      <c r="D657" s="101"/>
      <c r="E657" s="101"/>
      <c r="F657" s="101"/>
      <c r="G657" s="101"/>
      <c r="H657" s="101"/>
      <c r="I657" s="101"/>
      <c r="J657" s="101"/>
      <c r="S657" s="101"/>
      <c r="T657" s="241"/>
      <c r="U657" s="241"/>
      <c r="V657" s="241"/>
      <c r="W657" s="241"/>
      <c r="X657" s="241"/>
      <c r="Y657" s="241"/>
      <c r="Z657" s="252"/>
    </row>
    <row r="658" spans="3:26" ht="16.5">
      <c r="C658" s="101"/>
      <c r="D658" s="101"/>
      <c r="E658" s="101"/>
      <c r="F658" s="101"/>
      <c r="G658" s="101"/>
      <c r="H658" s="101"/>
      <c r="I658" s="101"/>
      <c r="J658" s="101"/>
      <c r="S658" s="101"/>
      <c r="T658" s="241"/>
      <c r="U658" s="241"/>
      <c r="V658" s="241"/>
      <c r="W658" s="241"/>
      <c r="X658" s="241"/>
      <c r="Y658" s="241"/>
      <c r="Z658" s="252"/>
    </row>
    <row r="659" spans="3:26" ht="16.5">
      <c r="C659" s="101"/>
      <c r="D659" s="101"/>
      <c r="E659" s="101"/>
      <c r="F659" s="101"/>
      <c r="G659" s="101"/>
      <c r="H659" s="101"/>
      <c r="I659" s="101"/>
      <c r="J659" s="101"/>
      <c r="S659" s="101"/>
      <c r="T659" s="241"/>
      <c r="U659" s="241"/>
      <c r="V659" s="241"/>
      <c r="W659" s="241"/>
      <c r="X659" s="241"/>
      <c r="Y659" s="241"/>
      <c r="Z659" s="252"/>
    </row>
    <row r="660" spans="3:26" ht="16.5">
      <c r="C660" s="101"/>
      <c r="D660" s="101"/>
      <c r="E660" s="101"/>
      <c r="F660" s="101"/>
      <c r="G660" s="101"/>
      <c r="H660" s="101"/>
      <c r="I660" s="101"/>
      <c r="J660" s="101"/>
      <c r="S660" s="101"/>
      <c r="T660" s="241"/>
      <c r="U660" s="241"/>
      <c r="V660" s="241"/>
      <c r="W660" s="241"/>
      <c r="X660" s="241"/>
      <c r="Y660" s="241"/>
      <c r="Z660" s="252"/>
    </row>
    <row r="661" spans="3:26" ht="16.5">
      <c r="C661" s="101"/>
      <c r="D661" s="101"/>
      <c r="E661" s="101"/>
      <c r="F661" s="101"/>
      <c r="G661" s="101"/>
      <c r="H661" s="101"/>
      <c r="I661" s="101"/>
      <c r="J661" s="101"/>
      <c r="S661" s="101"/>
      <c r="T661" s="241"/>
      <c r="U661" s="241"/>
      <c r="V661" s="241"/>
      <c r="W661" s="241"/>
      <c r="X661" s="241"/>
      <c r="Y661" s="241"/>
      <c r="Z661" s="252"/>
    </row>
    <row r="662" spans="3:26" ht="16.5">
      <c r="C662" s="101"/>
      <c r="D662" s="101"/>
      <c r="E662" s="101"/>
      <c r="F662" s="101"/>
      <c r="G662" s="101"/>
      <c r="H662" s="101"/>
      <c r="I662" s="101"/>
      <c r="J662" s="101"/>
      <c r="S662" s="101"/>
      <c r="T662" s="241"/>
      <c r="U662" s="241"/>
      <c r="V662" s="241"/>
      <c r="W662" s="241"/>
      <c r="X662" s="241"/>
      <c r="Y662" s="241"/>
      <c r="Z662" s="252"/>
    </row>
    <row r="663" spans="3:26" ht="16.5">
      <c r="C663" s="101"/>
      <c r="D663" s="101"/>
      <c r="E663" s="101"/>
      <c r="F663" s="101"/>
      <c r="G663" s="101"/>
      <c r="H663" s="101"/>
      <c r="I663" s="101"/>
      <c r="J663" s="101"/>
      <c r="S663" s="101"/>
      <c r="T663" s="241"/>
      <c r="U663" s="241"/>
      <c r="V663" s="241"/>
      <c r="W663" s="241"/>
      <c r="X663" s="241"/>
      <c r="Y663" s="241"/>
      <c r="Z663" s="252"/>
    </row>
    <row r="664" spans="3:26" ht="16.5">
      <c r="C664" s="101"/>
      <c r="D664" s="101"/>
      <c r="E664" s="101"/>
      <c r="F664" s="101"/>
      <c r="G664" s="101"/>
      <c r="H664" s="101"/>
      <c r="I664" s="101"/>
      <c r="J664" s="101"/>
      <c r="S664" s="101"/>
      <c r="T664" s="241"/>
      <c r="U664" s="241"/>
      <c r="V664" s="241"/>
      <c r="W664" s="241"/>
      <c r="X664" s="241"/>
      <c r="Y664" s="241"/>
      <c r="Z664" s="252"/>
    </row>
    <row r="665" spans="3:26" ht="16.5">
      <c r="C665" s="101"/>
      <c r="D665" s="101"/>
      <c r="E665" s="101"/>
      <c r="F665" s="101"/>
      <c r="G665" s="101"/>
      <c r="H665" s="101"/>
      <c r="I665" s="101"/>
      <c r="J665" s="101"/>
      <c r="S665" s="101"/>
      <c r="T665" s="241"/>
      <c r="U665" s="241"/>
      <c r="V665" s="241"/>
      <c r="W665" s="241"/>
      <c r="X665" s="241"/>
      <c r="Y665" s="241"/>
      <c r="Z665" s="252"/>
    </row>
    <row r="666" spans="3:26" ht="16.5">
      <c r="C666" s="101"/>
      <c r="D666" s="101"/>
      <c r="E666" s="101"/>
      <c r="F666" s="101"/>
      <c r="G666" s="101"/>
      <c r="H666" s="101"/>
      <c r="I666" s="101"/>
      <c r="J666" s="101"/>
      <c r="S666" s="101"/>
      <c r="T666" s="241"/>
      <c r="U666" s="241"/>
      <c r="V666" s="241"/>
      <c r="W666" s="241"/>
      <c r="X666" s="241"/>
      <c r="Y666" s="241"/>
      <c r="Z666" s="252"/>
    </row>
    <row r="667" spans="3:26" ht="16.5">
      <c r="C667" s="101"/>
      <c r="D667" s="101"/>
      <c r="E667" s="101"/>
      <c r="F667" s="101"/>
      <c r="G667" s="101"/>
      <c r="H667" s="101"/>
      <c r="I667" s="101"/>
      <c r="J667" s="101"/>
      <c r="S667" s="101"/>
      <c r="T667" s="241"/>
      <c r="U667" s="241"/>
      <c r="V667" s="241"/>
      <c r="W667" s="241"/>
      <c r="X667" s="241"/>
      <c r="Y667" s="241"/>
      <c r="Z667" s="252"/>
    </row>
    <row r="668" spans="3:26" ht="16.5">
      <c r="C668" s="101"/>
      <c r="D668" s="101"/>
      <c r="E668" s="101"/>
      <c r="F668" s="101"/>
      <c r="G668" s="101"/>
      <c r="H668" s="101"/>
      <c r="I668" s="101"/>
      <c r="J668" s="101"/>
      <c r="S668" s="101"/>
      <c r="T668" s="241"/>
      <c r="U668" s="241"/>
      <c r="V668" s="241"/>
      <c r="W668" s="241"/>
      <c r="X668" s="241"/>
      <c r="Y668" s="241"/>
      <c r="Z668" s="252"/>
    </row>
    <row r="669" spans="3:26" ht="16.5">
      <c r="C669" s="101"/>
      <c r="D669" s="101"/>
      <c r="E669" s="101"/>
      <c r="F669" s="101"/>
      <c r="G669" s="101"/>
      <c r="H669" s="101"/>
      <c r="I669" s="101"/>
      <c r="J669" s="101"/>
      <c r="S669" s="101"/>
      <c r="T669" s="241"/>
      <c r="U669" s="241"/>
      <c r="V669" s="241"/>
      <c r="W669" s="241"/>
      <c r="X669" s="241"/>
      <c r="Y669" s="241"/>
      <c r="Z669" s="252"/>
    </row>
    <row r="670" spans="3:26" ht="16.5">
      <c r="C670" s="101"/>
      <c r="D670" s="101"/>
      <c r="E670" s="101"/>
      <c r="F670" s="101"/>
      <c r="G670" s="101"/>
      <c r="H670" s="101"/>
      <c r="I670" s="101"/>
      <c r="J670" s="101"/>
      <c r="S670" s="101"/>
      <c r="T670" s="241"/>
      <c r="U670" s="241"/>
      <c r="V670" s="241"/>
      <c r="W670" s="241"/>
      <c r="X670" s="241"/>
      <c r="Y670" s="241"/>
      <c r="Z670" s="252"/>
    </row>
    <row r="671" spans="3:26" ht="16.5">
      <c r="C671" s="101"/>
      <c r="D671" s="101"/>
      <c r="E671" s="101"/>
      <c r="F671" s="101"/>
      <c r="G671" s="101"/>
      <c r="H671" s="101"/>
      <c r="I671" s="101"/>
      <c r="J671" s="101"/>
      <c r="S671" s="101"/>
      <c r="T671" s="241"/>
      <c r="U671" s="241"/>
      <c r="V671" s="241"/>
      <c r="W671" s="241"/>
      <c r="X671" s="241"/>
      <c r="Y671" s="241"/>
      <c r="Z671" s="252"/>
    </row>
    <row r="672" spans="3:26" ht="16.5">
      <c r="C672" s="101"/>
      <c r="D672" s="101"/>
      <c r="E672" s="101"/>
      <c r="F672" s="101"/>
      <c r="G672" s="101"/>
      <c r="H672" s="101"/>
      <c r="I672" s="101"/>
      <c r="J672" s="101"/>
      <c r="S672" s="101"/>
      <c r="T672" s="241"/>
      <c r="U672" s="241"/>
      <c r="V672" s="241"/>
      <c r="W672" s="241"/>
      <c r="X672" s="241"/>
      <c r="Y672" s="241"/>
      <c r="Z672" s="252"/>
    </row>
    <row r="673" spans="3:26" ht="16.5">
      <c r="C673" s="101"/>
      <c r="D673" s="101"/>
      <c r="E673" s="101"/>
      <c r="F673" s="101"/>
      <c r="G673" s="101"/>
      <c r="H673" s="101"/>
      <c r="I673" s="101"/>
      <c r="J673" s="101"/>
      <c r="S673" s="101"/>
      <c r="T673" s="241"/>
      <c r="U673" s="241"/>
      <c r="V673" s="241"/>
      <c r="W673" s="241"/>
      <c r="X673" s="241"/>
      <c r="Y673" s="241"/>
      <c r="Z673" s="252"/>
    </row>
    <row r="674" spans="3:26" ht="16.5">
      <c r="C674" s="101"/>
      <c r="D674" s="101"/>
      <c r="E674" s="101"/>
      <c r="F674" s="101"/>
      <c r="G674" s="101"/>
      <c r="H674" s="101"/>
      <c r="I674" s="101"/>
      <c r="J674" s="101"/>
      <c r="S674" s="101"/>
      <c r="T674" s="241"/>
      <c r="U674" s="241"/>
      <c r="V674" s="241"/>
      <c r="W674" s="241"/>
      <c r="X674" s="241"/>
      <c r="Y674" s="241"/>
      <c r="Z674" s="252"/>
    </row>
    <row r="675" spans="3:26" ht="16.5">
      <c r="C675" s="101"/>
      <c r="D675" s="101"/>
      <c r="E675" s="101"/>
      <c r="F675" s="101"/>
      <c r="G675" s="101"/>
      <c r="H675" s="101"/>
      <c r="I675" s="101"/>
      <c r="J675" s="101"/>
      <c r="S675" s="101"/>
      <c r="T675" s="241"/>
      <c r="U675" s="241"/>
      <c r="V675" s="241"/>
      <c r="W675" s="241"/>
      <c r="X675" s="241"/>
      <c r="Y675" s="241"/>
      <c r="Z675" s="252"/>
    </row>
    <row r="676" spans="3:26" ht="16.5">
      <c r="C676" s="101"/>
      <c r="D676" s="101"/>
      <c r="E676" s="101"/>
      <c r="F676" s="101"/>
      <c r="G676" s="101"/>
      <c r="H676" s="101"/>
      <c r="I676" s="101"/>
      <c r="J676" s="101"/>
      <c r="S676" s="101"/>
      <c r="T676" s="241"/>
      <c r="U676" s="241"/>
      <c r="V676" s="241"/>
      <c r="W676" s="241"/>
      <c r="X676" s="241"/>
      <c r="Y676" s="241"/>
      <c r="Z676" s="252"/>
    </row>
    <row r="677" spans="3:26" ht="16.5">
      <c r="C677" s="101"/>
      <c r="D677" s="101"/>
      <c r="E677" s="101"/>
      <c r="F677" s="101"/>
      <c r="G677" s="101"/>
      <c r="H677" s="101"/>
      <c r="I677" s="101"/>
      <c r="J677" s="101"/>
      <c r="S677" s="101"/>
      <c r="T677" s="241"/>
      <c r="U677" s="241"/>
      <c r="V677" s="241"/>
      <c r="W677" s="241"/>
      <c r="X677" s="241"/>
      <c r="Y677" s="241"/>
      <c r="Z677" s="252"/>
    </row>
    <row r="678" spans="3:26" ht="16.5">
      <c r="C678" s="101"/>
      <c r="D678" s="101"/>
      <c r="E678" s="101"/>
      <c r="F678" s="101"/>
      <c r="G678" s="101"/>
      <c r="H678" s="101"/>
      <c r="I678" s="101"/>
      <c r="J678" s="101"/>
      <c r="S678" s="101"/>
      <c r="T678" s="241"/>
      <c r="U678" s="241"/>
      <c r="V678" s="241"/>
      <c r="W678" s="241"/>
      <c r="X678" s="241"/>
      <c r="Y678" s="241"/>
      <c r="Z678" s="252"/>
    </row>
    <row r="679" spans="3:26" ht="16.5">
      <c r="C679" s="101"/>
      <c r="D679" s="101"/>
      <c r="E679" s="101"/>
      <c r="F679" s="101"/>
      <c r="G679" s="101"/>
      <c r="H679" s="101"/>
      <c r="I679" s="101"/>
      <c r="J679" s="101"/>
      <c r="S679" s="101"/>
      <c r="T679" s="241"/>
      <c r="U679" s="241"/>
      <c r="V679" s="241"/>
      <c r="W679" s="241"/>
      <c r="X679" s="241"/>
      <c r="Y679" s="241"/>
      <c r="Z679" s="252"/>
    </row>
    <row r="680" spans="3:26" ht="16.5">
      <c r="C680" s="101"/>
      <c r="D680" s="101"/>
      <c r="E680" s="101"/>
      <c r="F680" s="101"/>
      <c r="G680" s="101"/>
      <c r="H680" s="101"/>
      <c r="I680" s="101"/>
      <c r="J680" s="101"/>
      <c r="S680" s="101"/>
      <c r="T680" s="241"/>
      <c r="U680" s="241"/>
      <c r="V680" s="241"/>
      <c r="W680" s="241"/>
      <c r="X680" s="241"/>
      <c r="Y680" s="241"/>
      <c r="Z680" s="252"/>
    </row>
    <row r="681" spans="3:26" ht="16.5">
      <c r="C681" s="101"/>
      <c r="D681" s="101"/>
      <c r="E681" s="101"/>
      <c r="F681" s="101"/>
      <c r="G681" s="101"/>
      <c r="H681" s="101"/>
      <c r="I681" s="101"/>
      <c r="J681" s="101"/>
      <c r="S681" s="101"/>
      <c r="T681" s="241"/>
      <c r="U681" s="241"/>
      <c r="V681" s="241"/>
      <c r="W681" s="241"/>
      <c r="X681" s="241"/>
      <c r="Y681" s="241"/>
      <c r="Z681" s="252"/>
    </row>
    <row r="682" spans="3:26" ht="16.5">
      <c r="C682" s="101"/>
      <c r="D682" s="101"/>
      <c r="E682" s="101"/>
      <c r="F682" s="101"/>
      <c r="G682" s="101"/>
      <c r="H682" s="101"/>
      <c r="I682" s="101"/>
      <c r="J682" s="101"/>
      <c r="S682" s="101"/>
      <c r="T682" s="241"/>
      <c r="U682" s="241"/>
      <c r="V682" s="241"/>
      <c r="W682" s="241"/>
      <c r="X682" s="241"/>
      <c r="Y682" s="241"/>
      <c r="Z682" s="252"/>
    </row>
    <row r="683" spans="3:26" ht="16.5">
      <c r="C683" s="101"/>
      <c r="D683" s="101"/>
      <c r="E683" s="101"/>
      <c r="F683" s="101"/>
      <c r="G683" s="101"/>
      <c r="H683" s="101"/>
      <c r="I683" s="101"/>
      <c r="J683" s="101"/>
      <c r="S683" s="101"/>
      <c r="T683" s="241"/>
      <c r="U683" s="241"/>
      <c r="V683" s="241"/>
      <c r="W683" s="241"/>
      <c r="X683" s="241"/>
      <c r="Y683" s="241"/>
      <c r="Z683" s="252"/>
    </row>
    <row r="684" spans="3:26" ht="16.5">
      <c r="C684" s="101"/>
      <c r="D684" s="101"/>
      <c r="E684" s="101"/>
      <c r="F684" s="101"/>
      <c r="G684" s="101"/>
      <c r="H684" s="101"/>
      <c r="I684" s="101"/>
      <c r="J684" s="101"/>
      <c r="S684" s="101"/>
      <c r="T684" s="241"/>
      <c r="U684" s="241"/>
      <c r="V684" s="241"/>
      <c r="W684" s="241"/>
      <c r="X684" s="241"/>
      <c r="Y684" s="241"/>
      <c r="Z684" s="252"/>
    </row>
    <row r="685" spans="3:26" ht="16.5">
      <c r="C685" s="101"/>
      <c r="D685" s="101"/>
      <c r="E685" s="101"/>
      <c r="F685" s="101"/>
      <c r="G685" s="101"/>
      <c r="H685" s="101"/>
      <c r="I685" s="101"/>
      <c r="J685" s="101"/>
      <c r="S685" s="101"/>
      <c r="T685" s="241"/>
      <c r="U685" s="241"/>
      <c r="V685" s="241"/>
      <c r="W685" s="241"/>
      <c r="X685" s="241"/>
      <c r="Y685" s="241"/>
      <c r="Z685" s="252"/>
    </row>
    <row r="686" spans="3:26" ht="16.5">
      <c r="C686" s="101"/>
      <c r="D686" s="101"/>
      <c r="E686" s="101"/>
      <c r="F686" s="101"/>
      <c r="G686" s="101"/>
      <c r="H686" s="101"/>
      <c r="I686" s="101"/>
      <c r="J686" s="101"/>
      <c r="S686" s="101"/>
      <c r="T686" s="241"/>
      <c r="U686" s="241"/>
      <c r="V686" s="241"/>
      <c r="W686" s="241"/>
      <c r="X686" s="241"/>
      <c r="Y686" s="241"/>
      <c r="Z686" s="252"/>
    </row>
    <row r="687" spans="3:26" ht="16.5">
      <c r="C687" s="101"/>
      <c r="D687" s="101"/>
      <c r="E687" s="101"/>
      <c r="F687" s="101"/>
      <c r="G687" s="101"/>
      <c r="H687" s="101"/>
      <c r="I687" s="101"/>
      <c r="J687" s="101"/>
      <c r="S687" s="101"/>
      <c r="T687" s="241"/>
      <c r="U687" s="241"/>
      <c r="V687" s="241"/>
      <c r="W687" s="241"/>
      <c r="X687" s="241"/>
      <c r="Y687" s="241"/>
      <c r="Z687" s="252"/>
    </row>
    <row r="688" spans="3:26" ht="16.5">
      <c r="C688" s="101"/>
      <c r="D688" s="101"/>
      <c r="E688" s="101"/>
      <c r="F688" s="101"/>
      <c r="G688" s="101"/>
      <c r="H688" s="101"/>
      <c r="I688" s="101"/>
      <c r="J688" s="101"/>
      <c r="S688" s="101"/>
      <c r="T688" s="241"/>
      <c r="U688" s="241"/>
      <c r="V688" s="241"/>
      <c r="W688" s="241"/>
      <c r="X688" s="241"/>
      <c r="Y688" s="241"/>
      <c r="Z688" s="252"/>
    </row>
    <row r="689" spans="3:26" ht="16.5">
      <c r="C689" s="101"/>
      <c r="D689" s="101"/>
      <c r="E689" s="101"/>
      <c r="F689" s="101"/>
      <c r="G689" s="101"/>
      <c r="H689" s="101"/>
      <c r="I689" s="101"/>
      <c r="J689" s="101"/>
      <c r="S689" s="101"/>
      <c r="T689" s="241"/>
      <c r="U689" s="241"/>
      <c r="V689" s="241"/>
      <c r="W689" s="241"/>
      <c r="X689" s="241"/>
      <c r="Y689" s="241"/>
      <c r="Z689" s="252"/>
    </row>
    <row r="690" spans="3:26" ht="16.5">
      <c r="C690" s="101"/>
      <c r="D690" s="101"/>
      <c r="E690" s="101"/>
      <c r="F690" s="101"/>
      <c r="G690" s="101"/>
      <c r="H690" s="101"/>
      <c r="I690" s="101"/>
      <c r="J690" s="101"/>
      <c r="S690" s="101"/>
      <c r="T690" s="241"/>
      <c r="U690" s="241"/>
      <c r="V690" s="241"/>
      <c r="W690" s="241"/>
      <c r="X690" s="241"/>
      <c r="Y690" s="241"/>
      <c r="Z690" s="252"/>
    </row>
    <row r="691" spans="3:26" ht="16.5">
      <c r="C691" s="101"/>
      <c r="D691" s="101"/>
      <c r="E691" s="101"/>
      <c r="F691" s="101"/>
      <c r="G691" s="101"/>
      <c r="H691" s="101"/>
      <c r="I691" s="101"/>
      <c r="J691" s="101"/>
      <c r="S691" s="101"/>
      <c r="T691" s="241"/>
      <c r="U691" s="241"/>
      <c r="V691" s="241"/>
      <c r="W691" s="241"/>
      <c r="X691" s="241"/>
      <c r="Y691" s="241"/>
      <c r="Z691" s="252"/>
    </row>
    <row r="692" spans="3:26" ht="16.5">
      <c r="C692" s="101"/>
      <c r="D692" s="101"/>
      <c r="E692" s="101"/>
      <c r="F692" s="101"/>
      <c r="G692" s="101"/>
      <c r="H692" s="101"/>
      <c r="I692" s="101"/>
      <c r="J692" s="101"/>
      <c r="S692" s="101"/>
      <c r="T692" s="241"/>
      <c r="U692" s="241"/>
      <c r="V692" s="241"/>
      <c r="W692" s="241"/>
      <c r="X692" s="241"/>
      <c r="Y692" s="241"/>
      <c r="Z692" s="252"/>
    </row>
    <row r="693" spans="3:26" ht="16.5">
      <c r="C693" s="101"/>
      <c r="D693" s="101"/>
      <c r="E693" s="101"/>
      <c r="F693" s="101"/>
      <c r="G693" s="101"/>
      <c r="H693" s="101"/>
      <c r="I693" s="101"/>
      <c r="J693" s="101"/>
      <c r="S693" s="101"/>
      <c r="T693" s="241"/>
      <c r="U693" s="241"/>
      <c r="V693" s="241"/>
      <c r="W693" s="241"/>
      <c r="X693" s="241"/>
      <c r="Y693" s="241"/>
      <c r="Z693" s="252"/>
    </row>
    <row r="694" spans="3:26" ht="16.5">
      <c r="C694" s="101"/>
      <c r="D694" s="101"/>
      <c r="E694" s="101"/>
      <c r="F694" s="101"/>
      <c r="G694" s="101"/>
      <c r="H694" s="101"/>
      <c r="I694" s="101"/>
      <c r="J694" s="101"/>
      <c r="S694" s="101"/>
      <c r="T694" s="241"/>
      <c r="U694" s="241"/>
      <c r="V694" s="241"/>
      <c r="W694" s="241"/>
      <c r="X694" s="241"/>
      <c r="Y694" s="241"/>
      <c r="Z694" s="252"/>
    </row>
    <row r="695" spans="3:26" ht="16.5">
      <c r="C695" s="101"/>
      <c r="D695" s="101"/>
      <c r="E695" s="101"/>
      <c r="F695" s="101"/>
      <c r="G695" s="101"/>
      <c r="H695" s="101"/>
      <c r="I695" s="101"/>
      <c r="J695" s="101"/>
      <c r="S695" s="101"/>
      <c r="T695" s="241"/>
      <c r="U695" s="241"/>
      <c r="V695" s="241"/>
      <c r="W695" s="241"/>
      <c r="X695" s="241"/>
      <c r="Y695" s="241"/>
      <c r="Z695" s="252"/>
    </row>
    <row r="696" spans="3:26" ht="16.5">
      <c r="C696" s="101"/>
      <c r="D696" s="101"/>
      <c r="E696" s="101"/>
      <c r="F696" s="101"/>
      <c r="G696" s="101"/>
      <c r="H696" s="101"/>
      <c r="I696" s="101"/>
      <c r="J696" s="101"/>
      <c r="S696" s="101"/>
      <c r="T696" s="241"/>
      <c r="U696" s="241"/>
      <c r="V696" s="241"/>
      <c r="W696" s="241"/>
      <c r="X696" s="241"/>
      <c r="Y696" s="241"/>
      <c r="Z696" s="252"/>
    </row>
    <row r="697" spans="3:26" ht="16.5">
      <c r="C697" s="101"/>
      <c r="D697" s="101"/>
      <c r="E697" s="101"/>
      <c r="F697" s="101"/>
      <c r="G697" s="101"/>
      <c r="H697" s="101"/>
      <c r="I697" s="101"/>
      <c r="J697" s="101"/>
      <c r="S697" s="101"/>
      <c r="T697" s="241"/>
      <c r="U697" s="241"/>
      <c r="V697" s="241"/>
      <c r="W697" s="241"/>
      <c r="X697" s="241"/>
      <c r="Y697" s="241"/>
      <c r="Z697" s="252"/>
    </row>
    <row r="698" spans="3:26" ht="16.5">
      <c r="C698" s="101"/>
      <c r="D698" s="101"/>
      <c r="E698" s="101"/>
      <c r="F698" s="101"/>
      <c r="G698" s="101"/>
      <c r="H698" s="101"/>
      <c r="I698" s="101"/>
      <c r="J698" s="101"/>
      <c r="S698" s="101"/>
      <c r="T698" s="241"/>
      <c r="U698" s="241"/>
      <c r="V698" s="241"/>
      <c r="W698" s="241"/>
      <c r="X698" s="241"/>
      <c r="Y698" s="241"/>
      <c r="Z698" s="252"/>
    </row>
    <row r="699" spans="3:26" ht="16.5">
      <c r="C699" s="101"/>
      <c r="D699" s="101"/>
      <c r="E699" s="101"/>
      <c r="F699" s="101"/>
      <c r="G699" s="101"/>
      <c r="H699" s="101"/>
      <c r="I699" s="101"/>
      <c r="J699" s="101"/>
      <c r="S699" s="101"/>
      <c r="T699" s="241"/>
      <c r="U699" s="241"/>
      <c r="V699" s="241"/>
      <c r="W699" s="241"/>
      <c r="X699" s="241"/>
      <c r="Y699" s="241"/>
      <c r="Z699" s="252"/>
    </row>
    <row r="700" spans="3:26" ht="16.5">
      <c r="C700" s="101"/>
      <c r="D700" s="101"/>
      <c r="E700" s="101"/>
      <c r="F700" s="101"/>
      <c r="G700" s="101"/>
      <c r="H700" s="101"/>
      <c r="I700" s="101"/>
      <c r="J700" s="101"/>
      <c r="S700" s="101"/>
      <c r="T700" s="241"/>
      <c r="U700" s="241"/>
      <c r="V700" s="241"/>
      <c r="W700" s="241"/>
      <c r="X700" s="241"/>
      <c r="Y700" s="241"/>
      <c r="Z700" s="252"/>
    </row>
    <row r="701" spans="3:26" ht="16.5">
      <c r="C701" s="101"/>
      <c r="D701" s="101"/>
      <c r="E701" s="101"/>
      <c r="F701" s="101"/>
      <c r="G701" s="101"/>
      <c r="H701" s="101"/>
      <c r="I701" s="101"/>
      <c r="J701" s="101"/>
      <c r="S701" s="101"/>
      <c r="T701" s="241"/>
      <c r="U701" s="241"/>
      <c r="V701" s="241"/>
      <c r="W701" s="241"/>
      <c r="X701" s="241"/>
      <c r="Y701" s="241"/>
      <c r="Z701" s="252"/>
    </row>
    <row r="702" spans="3:26" ht="16.5">
      <c r="C702" s="101"/>
      <c r="D702" s="101"/>
      <c r="E702" s="101"/>
      <c r="F702" s="101"/>
      <c r="G702" s="101"/>
      <c r="H702" s="101"/>
      <c r="I702" s="101"/>
      <c r="J702" s="101"/>
      <c r="S702" s="101"/>
      <c r="T702" s="241"/>
      <c r="U702" s="241"/>
      <c r="V702" s="241"/>
      <c r="W702" s="241"/>
      <c r="X702" s="241"/>
      <c r="Y702" s="241"/>
      <c r="Z702" s="252"/>
    </row>
    <row r="703" spans="3:26" ht="16.5">
      <c r="C703" s="101"/>
      <c r="D703" s="101"/>
      <c r="E703" s="101"/>
      <c r="F703" s="101"/>
      <c r="G703" s="101"/>
      <c r="H703" s="101"/>
      <c r="I703" s="101"/>
      <c r="J703" s="101"/>
      <c r="S703" s="101"/>
      <c r="T703" s="241"/>
      <c r="U703" s="241"/>
      <c r="V703" s="241"/>
      <c r="W703" s="241"/>
      <c r="X703" s="241"/>
      <c r="Y703" s="241"/>
      <c r="Z703" s="252"/>
    </row>
    <row r="704" spans="3:26" ht="16.5">
      <c r="C704" s="101"/>
      <c r="D704" s="101"/>
      <c r="E704" s="101"/>
      <c r="F704" s="101"/>
      <c r="G704" s="101"/>
      <c r="H704" s="101"/>
      <c r="I704" s="101"/>
      <c r="J704" s="101"/>
      <c r="S704" s="101"/>
      <c r="T704" s="241"/>
      <c r="U704" s="241"/>
      <c r="V704" s="241"/>
      <c r="W704" s="241"/>
      <c r="X704" s="241"/>
      <c r="Y704" s="241"/>
      <c r="Z704" s="252"/>
    </row>
    <row r="705" spans="3:26" ht="16.5">
      <c r="C705" s="101"/>
      <c r="D705" s="101"/>
      <c r="E705" s="101"/>
      <c r="F705" s="101"/>
      <c r="G705" s="101"/>
      <c r="H705" s="101"/>
      <c r="I705" s="101"/>
      <c r="J705" s="101"/>
      <c r="S705" s="101"/>
      <c r="T705" s="241"/>
      <c r="U705" s="241"/>
      <c r="V705" s="241"/>
      <c r="W705" s="241"/>
      <c r="X705" s="241"/>
      <c r="Y705" s="241"/>
      <c r="Z705" s="252"/>
    </row>
    <row r="706" spans="3:26" ht="16.5">
      <c r="C706" s="101"/>
      <c r="D706" s="101"/>
      <c r="E706" s="101"/>
      <c r="F706" s="101"/>
      <c r="G706" s="101"/>
      <c r="H706" s="101"/>
      <c r="I706" s="101"/>
      <c r="J706" s="101"/>
      <c r="S706" s="101"/>
      <c r="T706" s="241"/>
      <c r="U706" s="241"/>
      <c r="V706" s="241"/>
      <c r="W706" s="241"/>
      <c r="X706" s="241"/>
      <c r="Y706" s="241"/>
      <c r="Z706" s="252"/>
    </row>
    <row r="707" spans="3:26" ht="16.5">
      <c r="C707" s="101"/>
      <c r="D707" s="101"/>
      <c r="E707" s="101"/>
      <c r="F707" s="101"/>
      <c r="G707" s="101"/>
      <c r="H707" s="101"/>
      <c r="I707" s="101"/>
      <c r="J707" s="101"/>
      <c r="S707" s="101"/>
      <c r="T707" s="241"/>
      <c r="U707" s="241"/>
      <c r="V707" s="241"/>
      <c r="W707" s="241"/>
      <c r="X707" s="241"/>
      <c r="Y707" s="241"/>
      <c r="Z707" s="252"/>
    </row>
    <row r="708" spans="3:26" ht="16.5">
      <c r="C708" s="101"/>
      <c r="D708" s="101"/>
      <c r="E708" s="101"/>
      <c r="F708" s="101"/>
      <c r="G708" s="101"/>
      <c r="H708" s="101"/>
      <c r="I708" s="101"/>
      <c r="J708" s="101"/>
      <c r="S708" s="101"/>
      <c r="T708" s="241"/>
      <c r="U708" s="241"/>
      <c r="V708" s="241"/>
      <c r="W708" s="241"/>
      <c r="X708" s="241"/>
      <c r="Y708" s="241"/>
      <c r="Z708" s="252"/>
    </row>
    <row r="709" spans="3:26" ht="16.5">
      <c r="C709" s="101"/>
      <c r="D709" s="101"/>
      <c r="E709" s="101"/>
      <c r="F709" s="101"/>
      <c r="G709" s="101"/>
      <c r="H709" s="101"/>
      <c r="I709" s="101"/>
      <c r="J709" s="101"/>
      <c r="S709" s="101"/>
      <c r="T709" s="241"/>
      <c r="U709" s="241"/>
      <c r="V709" s="241"/>
      <c r="W709" s="241"/>
      <c r="X709" s="241"/>
      <c r="Y709" s="241"/>
      <c r="Z709" s="252"/>
    </row>
    <row r="710" spans="3:26" ht="16.5">
      <c r="C710" s="101"/>
      <c r="D710" s="101"/>
      <c r="E710" s="101"/>
      <c r="F710" s="101"/>
      <c r="G710" s="101"/>
      <c r="H710" s="101"/>
      <c r="I710" s="101"/>
      <c r="J710" s="101"/>
      <c r="S710" s="101"/>
      <c r="T710" s="241"/>
      <c r="U710" s="241"/>
      <c r="V710" s="241"/>
      <c r="W710" s="241"/>
      <c r="X710" s="241"/>
      <c r="Y710" s="241"/>
      <c r="Z710" s="252"/>
    </row>
    <row r="711" spans="3:26" ht="16.5">
      <c r="C711" s="101"/>
      <c r="D711" s="101"/>
      <c r="E711" s="101"/>
      <c r="F711" s="101"/>
      <c r="G711" s="101"/>
      <c r="H711" s="101"/>
      <c r="I711" s="101"/>
      <c r="J711" s="101"/>
      <c r="S711" s="101"/>
      <c r="T711" s="241"/>
      <c r="U711" s="241"/>
      <c r="V711" s="241"/>
      <c r="W711" s="241"/>
      <c r="X711" s="241"/>
      <c r="Y711" s="241"/>
      <c r="Z711" s="252"/>
    </row>
    <row r="712" spans="3:26" ht="16.5">
      <c r="C712" s="101"/>
      <c r="D712" s="101"/>
      <c r="E712" s="101"/>
      <c r="F712" s="101"/>
      <c r="G712" s="101"/>
      <c r="H712" s="101"/>
      <c r="I712" s="101"/>
      <c r="J712" s="101"/>
      <c r="S712" s="101"/>
      <c r="T712" s="241"/>
      <c r="U712" s="241"/>
      <c r="V712" s="241"/>
      <c r="W712" s="241"/>
      <c r="X712" s="241"/>
      <c r="Y712" s="241"/>
      <c r="Z712" s="252"/>
    </row>
    <row r="713" spans="3:26" ht="16.5">
      <c r="C713" s="101"/>
      <c r="D713" s="101"/>
      <c r="E713" s="101"/>
      <c r="F713" s="101"/>
      <c r="G713" s="101"/>
      <c r="H713" s="101"/>
      <c r="I713" s="101"/>
      <c r="J713" s="101"/>
      <c r="S713" s="101"/>
      <c r="T713" s="241"/>
      <c r="U713" s="241"/>
      <c r="V713" s="241"/>
      <c r="W713" s="241"/>
      <c r="X713" s="241"/>
      <c r="Y713" s="241"/>
      <c r="Z713" s="252"/>
    </row>
    <row r="714" spans="3:26" ht="16.5">
      <c r="C714" s="101"/>
      <c r="D714" s="101"/>
      <c r="E714" s="101"/>
      <c r="F714" s="101"/>
      <c r="G714" s="101"/>
      <c r="H714" s="101"/>
      <c r="I714" s="101"/>
      <c r="J714" s="101"/>
      <c r="S714" s="101"/>
      <c r="T714" s="241"/>
      <c r="U714" s="241"/>
      <c r="V714" s="241"/>
      <c r="W714" s="241"/>
      <c r="X714" s="241"/>
      <c r="Y714" s="241"/>
      <c r="Z714" s="252"/>
    </row>
    <row r="715" spans="3:26" ht="16.5">
      <c r="C715" s="101"/>
      <c r="D715" s="101"/>
      <c r="E715" s="101"/>
      <c r="F715" s="101"/>
      <c r="G715" s="101"/>
      <c r="H715" s="101"/>
      <c r="I715" s="101"/>
      <c r="J715" s="101"/>
      <c r="S715" s="101"/>
      <c r="T715" s="241"/>
      <c r="U715" s="241"/>
      <c r="V715" s="241"/>
      <c r="W715" s="241"/>
      <c r="X715" s="241"/>
      <c r="Y715" s="241"/>
      <c r="Z715" s="252"/>
    </row>
    <row r="716" spans="3:26" ht="16.5">
      <c r="C716" s="101"/>
      <c r="D716" s="101"/>
      <c r="E716" s="101"/>
      <c r="F716" s="101"/>
      <c r="G716" s="101"/>
      <c r="H716" s="101"/>
      <c r="I716" s="101"/>
      <c r="J716" s="101"/>
      <c r="S716" s="101"/>
      <c r="T716" s="241"/>
      <c r="U716" s="241"/>
      <c r="V716" s="241"/>
      <c r="W716" s="241"/>
      <c r="X716" s="241"/>
      <c r="Y716" s="241"/>
      <c r="Z716" s="252"/>
    </row>
    <row r="717" spans="3:26" ht="16.5">
      <c r="C717" s="101"/>
      <c r="D717" s="101"/>
      <c r="E717" s="101"/>
      <c r="F717" s="101"/>
      <c r="G717" s="101"/>
      <c r="H717" s="101"/>
      <c r="I717" s="101"/>
      <c r="J717" s="101"/>
      <c r="S717" s="101"/>
      <c r="T717" s="241"/>
      <c r="U717" s="241"/>
      <c r="V717" s="241"/>
      <c r="W717" s="241"/>
      <c r="X717" s="241"/>
      <c r="Y717" s="241"/>
      <c r="Z717" s="252"/>
    </row>
    <row r="718" spans="3:26" ht="16.5">
      <c r="C718" s="101"/>
      <c r="D718" s="101"/>
      <c r="E718" s="101"/>
      <c r="F718" s="101"/>
      <c r="G718" s="101"/>
      <c r="H718" s="101"/>
      <c r="I718" s="101"/>
      <c r="J718" s="101"/>
      <c r="S718" s="101"/>
      <c r="T718" s="241"/>
      <c r="U718" s="241"/>
      <c r="V718" s="241"/>
      <c r="W718" s="241"/>
      <c r="X718" s="241"/>
      <c r="Y718" s="241"/>
      <c r="Z718" s="252"/>
    </row>
    <row r="719" spans="3:26" ht="16.5">
      <c r="C719" s="101"/>
      <c r="D719" s="101"/>
      <c r="E719" s="101"/>
      <c r="F719" s="101"/>
      <c r="G719" s="101"/>
      <c r="H719" s="101"/>
      <c r="I719" s="101"/>
      <c r="J719" s="101"/>
      <c r="S719" s="101"/>
      <c r="T719" s="241"/>
      <c r="U719" s="241"/>
      <c r="V719" s="241"/>
      <c r="W719" s="241"/>
      <c r="X719" s="241"/>
      <c r="Y719" s="241"/>
      <c r="Z719" s="252"/>
    </row>
    <row r="720" spans="3:26" ht="16.5">
      <c r="C720" s="101"/>
      <c r="D720" s="101"/>
      <c r="E720" s="101"/>
      <c r="F720" s="101"/>
      <c r="G720" s="101"/>
      <c r="H720" s="101"/>
      <c r="I720" s="101"/>
      <c r="J720" s="101"/>
      <c r="S720" s="101"/>
      <c r="T720" s="241"/>
      <c r="U720" s="241"/>
      <c r="V720" s="241"/>
      <c r="W720" s="241"/>
      <c r="X720" s="241"/>
      <c r="Y720" s="241"/>
      <c r="Z720" s="252"/>
    </row>
    <row r="721" spans="3:26" ht="16.5">
      <c r="C721" s="101"/>
      <c r="D721" s="101"/>
      <c r="E721" s="101"/>
      <c r="F721" s="101"/>
      <c r="G721" s="101"/>
      <c r="H721" s="101"/>
      <c r="I721" s="101"/>
      <c r="J721" s="101"/>
      <c r="S721" s="101"/>
      <c r="T721" s="241"/>
      <c r="U721" s="241"/>
      <c r="V721" s="241"/>
      <c r="W721" s="241"/>
      <c r="X721" s="241"/>
      <c r="Y721" s="241"/>
      <c r="Z721" s="252"/>
    </row>
    <row r="722" spans="3:26" ht="16.5">
      <c r="C722" s="101"/>
      <c r="D722" s="101"/>
      <c r="E722" s="101"/>
      <c r="F722" s="101"/>
      <c r="G722" s="101"/>
      <c r="H722" s="101"/>
      <c r="I722" s="101"/>
      <c r="J722" s="101"/>
      <c r="S722" s="101"/>
      <c r="T722" s="241"/>
      <c r="U722" s="241"/>
      <c r="V722" s="241"/>
      <c r="W722" s="241"/>
      <c r="X722" s="241"/>
      <c r="Y722" s="241"/>
      <c r="Z722" s="252"/>
    </row>
    <row r="723" spans="3:26" ht="16.5">
      <c r="C723" s="101"/>
      <c r="D723" s="101"/>
      <c r="E723" s="101"/>
      <c r="F723" s="101"/>
      <c r="G723" s="101"/>
      <c r="H723" s="101"/>
      <c r="I723" s="101"/>
      <c r="J723" s="101"/>
      <c r="S723" s="101"/>
      <c r="T723" s="241"/>
      <c r="U723" s="241"/>
      <c r="V723" s="241"/>
      <c r="W723" s="241"/>
      <c r="X723" s="241"/>
      <c r="Y723" s="241"/>
      <c r="Z723" s="252"/>
    </row>
    <row r="724" spans="3:26" ht="16.5">
      <c r="C724" s="101"/>
      <c r="D724" s="101"/>
      <c r="E724" s="101"/>
      <c r="F724" s="101"/>
      <c r="G724" s="101"/>
      <c r="H724" s="101"/>
      <c r="I724" s="101"/>
      <c r="J724" s="101"/>
      <c r="S724" s="101"/>
      <c r="T724" s="241"/>
      <c r="U724" s="241"/>
      <c r="V724" s="241"/>
      <c r="W724" s="241"/>
      <c r="X724" s="241"/>
      <c r="Y724" s="241"/>
      <c r="Z724" s="252"/>
    </row>
    <row r="725" spans="3:26" ht="16.5">
      <c r="C725" s="101"/>
      <c r="D725" s="101"/>
      <c r="E725" s="101"/>
      <c r="F725" s="101"/>
      <c r="G725" s="101"/>
      <c r="H725" s="101"/>
      <c r="I725" s="101"/>
      <c r="J725" s="101"/>
      <c r="S725" s="101"/>
      <c r="T725" s="241"/>
      <c r="U725" s="241"/>
      <c r="V725" s="241"/>
      <c r="W725" s="241"/>
      <c r="X725" s="241"/>
      <c r="Y725" s="241"/>
      <c r="Z725" s="252"/>
    </row>
    <row r="726" spans="3:26" ht="16.5">
      <c r="C726" s="101"/>
      <c r="D726" s="101"/>
      <c r="E726" s="101"/>
      <c r="F726" s="101"/>
      <c r="G726" s="101"/>
      <c r="H726" s="101"/>
      <c r="I726" s="101"/>
      <c r="J726" s="101"/>
      <c r="S726" s="101"/>
      <c r="T726" s="241"/>
      <c r="U726" s="241"/>
      <c r="V726" s="241"/>
      <c r="W726" s="241"/>
      <c r="X726" s="241"/>
      <c r="Y726" s="241"/>
      <c r="Z726" s="252"/>
    </row>
    <row r="727" spans="3:26" ht="16.5">
      <c r="C727" s="101"/>
      <c r="D727" s="101"/>
      <c r="E727" s="101"/>
      <c r="F727" s="101"/>
      <c r="G727" s="101"/>
      <c r="H727" s="101"/>
      <c r="I727" s="101"/>
      <c r="J727" s="101"/>
      <c r="S727" s="101"/>
      <c r="T727" s="241"/>
      <c r="U727" s="241"/>
      <c r="V727" s="241"/>
      <c r="W727" s="241"/>
      <c r="X727" s="241"/>
      <c r="Y727" s="241"/>
      <c r="Z727" s="252"/>
    </row>
    <row r="728" spans="3:26" ht="16.5">
      <c r="C728" s="101"/>
      <c r="D728" s="101"/>
      <c r="E728" s="101"/>
      <c r="F728" s="101"/>
      <c r="G728" s="101"/>
      <c r="H728" s="101"/>
      <c r="I728" s="101"/>
      <c r="J728" s="101"/>
      <c r="S728" s="101"/>
      <c r="T728" s="241"/>
      <c r="U728" s="241"/>
      <c r="V728" s="241"/>
      <c r="W728" s="241"/>
      <c r="X728" s="241"/>
      <c r="Y728" s="241"/>
      <c r="Z728" s="252"/>
    </row>
    <row r="729" spans="3:26" ht="16.5">
      <c r="C729" s="101"/>
      <c r="D729" s="101"/>
      <c r="E729" s="101"/>
      <c r="F729" s="101"/>
      <c r="G729" s="101"/>
      <c r="H729" s="101"/>
      <c r="I729" s="101"/>
      <c r="J729" s="101"/>
      <c r="S729" s="101"/>
      <c r="T729" s="241"/>
      <c r="U729" s="241"/>
      <c r="V729" s="241"/>
      <c r="W729" s="241"/>
      <c r="X729" s="241"/>
      <c r="Y729" s="241"/>
      <c r="Z729" s="252"/>
    </row>
    <row r="730" spans="3:26" ht="16.5">
      <c r="C730" s="101"/>
      <c r="D730" s="101"/>
      <c r="E730" s="101"/>
      <c r="F730" s="101"/>
      <c r="G730" s="101"/>
      <c r="H730" s="101"/>
      <c r="I730" s="101"/>
      <c r="J730" s="101"/>
      <c r="S730" s="101"/>
      <c r="T730" s="241"/>
      <c r="U730" s="241"/>
      <c r="V730" s="241"/>
      <c r="W730" s="241"/>
      <c r="X730" s="241"/>
      <c r="Y730" s="241"/>
      <c r="Z730" s="252"/>
    </row>
    <row r="731" spans="3:26" ht="16.5">
      <c r="C731" s="101"/>
      <c r="D731" s="101"/>
      <c r="E731" s="101"/>
      <c r="F731" s="101"/>
      <c r="G731" s="101"/>
      <c r="H731" s="101"/>
      <c r="I731" s="101"/>
      <c r="J731" s="101"/>
      <c r="S731" s="101"/>
      <c r="T731" s="241"/>
      <c r="U731" s="241"/>
      <c r="V731" s="241"/>
      <c r="W731" s="241"/>
      <c r="X731" s="241"/>
      <c r="Y731" s="241"/>
      <c r="Z731" s="252"/>
    </row>
    <row r="732" spans="3:26" ht="16.5">
      <c r="C732" s="101"/>
      <c r="D732" s="101"/>
      <c r="E732" s="101"/>
      <c r="F732" s="101"/>
      <c r="G732" s="101"/>
      <c r="H732" s="101"/>
      <c r="I732" s="101"/>
      <c r="J732" s="101"/>
      <c r="S732" s="101"/>
      <c r="T732" s="241"/>
      <c r="U732" s="241"/>
      <c r="V732" s="241"/>
      <c r="W732" s="241"/>
      <c r="X732" s="241"/>
      <c r="Y732" s="241"/>
      <c r="Z732" s="252"/>
    </row>
    <row r="733" spans="3:26" ht="16.5">
      <c r="C733" s="101"/>
      <c r="D733" s="101"/>
      <c r="E733" s="101"/>
      <c r="F733" s="101"/>
      <c r="G733" s="101"/>
      <c r="H733" s="101"/>
      <c r="I733" s="101"/>
      <c r="J733" s="101"/>
      <c r="S733" s="101"/>
      <c r="T733" s="241"/>
      <c r="U733" s="241"/>
      <c r="V733" s="241"/>
      <c r="W733" s="241"/>
      <c r="X733" s="241"/>
      <c r="Y733" s="241"/>
      <c r="Z733" s="252"/>
    </row>
    <row r="734" spans="3:26" ht="16.5">
      <c r="C734" s="101"/>
      <c r="D734" s="101"/>
      <c r="E734" s="101"/>
      <c r="F734" s="101"/>
      <c r="G734" s="101"/>
      <c r="H734" s="101"/>
      <c r="I734" s="101"/>
      <c r="J734" s="101"/>
      <c r="S734" s="101"/>
      <c r="T734" s="241"/>
      <c r="U734" s="241"/>
      <c r="V734" s="241"/>
      <c r="W734" s="241"/>
      <c r="X734" s="241"/>
      <c r="Y734" s="241"/>
      <c r="Z734" s="252"/>
    </row>
    <row r="735" spans="3:26" ht="16.5">
      <c r="C735" s="101"/>
      <c r="D735" s="101"/>
      <c r="E735" s="101"/>
      <c r="F735" s="101"/>
      <c r="G735" s="101"/>
      <c r="H735" s="101"/>
      <c r="I735" s="101"/>
      <c r="J735" s="101"/>
      <c r="S735" s="101"/>
      <c r="T735" s="241"/>
      <c r="U735" s="241"/>
      <c r="V735" s="241"/>
      <c r="W735" s="241"/>
      <c r="X735" s="241"/>
      <c r="Y735" s="241"/>
      <c r="Z735" s="252"/>
    </row>
    <row r="736" spans="3:26" ht="16.5">
      <c r="C736" s="101"/>
      <c r="D736" s="101"/>
      <c r="E736" s="101"/>
      <c r="F736" s="101"/>
      <c r="G736" s="101"/>
      <c r="H736" s="101"/>
      <c r="I736" s="101"/>
      <c r="J736" s="101"/>
      <c r="S736" s="101"/>
      <c r="T736" s="241"/>
      <c r="U736" s="241"/>
      <c r="V736" s="241"/>
      <c r="W736" s="241"/>
      <c r="X736" s="241"/>
      <c r="Y736" s="241"/>
      <c r="Z736" s="252"/>
    </row>
    <row r="737" spans="3:26" ht="16.5">
      <c r="C737" s="101"/>
      <c r="D737" s="101"/>
      <c r="E737" s="101"/>
      <c r="F737" s="101"/>
      <c r="G737" s="101"/>
      <c r="H737" s="101"/>
      <c r="I737" s="101"/>
      <c r="J737" s="101"/>
      <c r="S737" s="101"/>
      <c r="T737" s="241"/>
      <c r="U737" s="241"/>
      <c r="V737" s="241"/>
      <c r="W737" s="241"/>
      <c r="X737" s="241"/>
      <c r="Y737" s="241"/>
      <c r="Z737" s="252"/>
    </row>
    <row r="738" spans="3:26" ht="16.5">
      <c r="C738" s="101"/>
      <c r="D738" s="101"/>
      <c r="E738" s="101"/>
      <c r="F738" s="101"/>
      <c r="G738" s="101"/>
      <c r="H738" s="101"/>
      <c r="I738" s="101"/>
      <c r="J738" s="101"/>
      <c r="S738" s="101"/>
      <c r="T738" s="241"/>
      <c r="U738" s="241"/>
      <c r="V738" s="241"/>
      <c r="W738" s="241"/>
      <c r="X738" s="241"/>
      <c r="Y738" s="241"/>
      <c r="Z738" s="252"/>
    </row>
    <row r="739" spans="3:26" ht="16.5">
      <c r="C739" s="101"/>
      <c r="D739" s="101"/>
      <c r="E739" s="101"/>
      <c r="F739" s="101"/>
      <c r="G739" s="101"/>
      <c r="H739" s="101"/>
      <c r="I739" s="101"/>
      <c r="J739" s="101"/>
      <c r="S739" s="101"/>
      <c r="T739" s="241"/>
      <c r="U739" s="241"/>
      <c r="V739" s="241"/>
      <c r="W739" s="241"/>
      <c r="X739" s="241"/>
      <c r="Y739" s="241"/>
      <c r="Z739" s="252"/>
    </row>
    <row r="740" spans="3:26" ht="16.5">
      <c r="C740" s="101"/>
      <c r="D740" s="101"/>
      <c r="E740" s="101"/>
      <c r="F740" s="101"/>
      <c r="G740" s="101"/>
      <c r="H740" s="101"/>
      <c r="I740" s="101"/>
      <c r="J740" s="101"/>
      <c r="S740" s="101"/>
      <c r="T740" s="241"/>
      <c r="U740" s="241"/>
      <c r="V740" s="241"/>
      <c r="W740" s="241"/>
      <c r="X740" s="241"/>
      <c r="Y740" s="241"/>
      <c r="Z740" s="252"/>
    </row>
    <row r="741" spans="3:26" ht="16.5">
      <c r="C741" s="101"/>
      <c r="D741" s="101"/>
      <c r="E741" s="101"/>
      <c r="F741" s="101"/>
      <c r="G741" s="101"/>
      <c r="H741" s="101"/>
      <c r="I741" s="101"/>
      <c r="J741" s="101"/>
      <c r="S741" s="101"/>
      <c r="T741" s="241"/>
      <c r="U741" s="241"/>
      <c r="V741" s="241"/>
      <c r="W741" s="241"/>
      <c r="X741" s="241"/>
      <c r="Y741" s="241"/>
      <c r="Z741" s="252"/>
    </row>
    <row r="742" spans="3:26" ht="16.5">
      <c r="C742" s="101"/>
      <c r="D742" s="101"/>
      <c r="E742" s="101"/>
      <c r="F742" s="101"/>
      <c r="G742" s="101"/>
      <c r="H742" s="101"/>
      <c r="I742" s="101"/>
      <c r="J742" s="101"/>
      <c r="S742" s="101"/>
      <c r="T742" s="241"/>
      <c r="U742" s="241"/>
      <c r="V742" s="241"/>
      <c r="W742" s="241"/>
      <c r="X742" s="241"/>
      <c r="Y742" s="241"/>
      <c r="Z742" s="252"/>
    </row>
    <row r="743" spans="3:26" ht="16.5">
      <c r="C743" s="101"/>
      <c r="D743" s="101"/>
      <c r="E743" s="101"/>
      <c r="F743" s="101"/>
      <c r="G743" s="101"/>
      <c r="H743" s="101"/>
      <c r="I743" s="101"/>
      <c r="J743" s="101"/>
      <c r="S743" s="101"/>
      <c r="T743" s="241"/>
      <c r="U743" s="241"/>
      <c r="V743" s="241"/>
      <c r="W743" s="241"/>
      <c r="X743" s="241"/>
      <c r="Y743" s="241"/>
      <c r="Z743" s="252"/>
    </row>
    <row r="744" spans="3:26" ht="16.5">
      <c r="C744" s="101"/>
      <c r="D744" s="101"/>
      <c r="E744" s="101"/>
      <c r="F744" s="101"/>
      <c r="G744" s="101"/>
      <c r="H744" s="101"/>
      <c r="I744" s="101"/>
      <c r="J744" s="101"/>
      <c r="S744" s="101"/>
      <c r="T744" s="241"/>
      <c r="U744" s="241"/>
      <c r="V744" s="241"/>
      <c r="W744" s="241"/>
      <c r="X744" s="241"/>
      <c r="Y744" s="241"/>
      <c r="Z744" s="252"/>
    </row>
    <row r="745" spans="3:26" ht="16.5">
      <c r="C745" s="101"/>
      <c r="D745" s="101"/>
      <c r="E745" s="101"/>
      <c r="F745" s="101"/>
      <c r="G745" s="101"/>
      <c r="H745" s="101"/>
      <c r="I745" s="101"/>
      <c r="J745" s="101"/>
      <c r="S745" s="101"/>
      <c r="T745" s="241"/>
      <c r="U745" s="241"/>
      <c r="V745" s="241"/>
      <c r="W745" s="241"/>
      <c r="X745" s="241"/>
      <c r="Y745" s="241"/>
      <c r="Z745" s="252"/>
    </row>
    <row r="746" spans="3:26" ht="16.5">
      <c r="C746" s="101"/>
      <c r="D746" s="101"/>
      <c r="E746" s="101"/>
      <c r="F746" s="101"/>
      <c r="G746" s="101"/>
      <c r="H746" s="101"/>
      <c r="I746" s="101"/>
      <c r="J746" s="101"/>
      <c r="S746" s="101"/>
      <c r="T746" s="241"/>
      <c r="U746" s="241"/>
      <c r="V746" s="241"/>
      <c r="W746" s="241"/>
      <c r="X746" s="241"/>
      <c r="Y746" s="241"/>
      <c r="Z746" s="252"/>
    </row>
    <row r="747" spans="3:26" ht="16.5">
      <c r="C747" s="101"/>
      <c r="D747" s="101"/>
      <c r="E747" s="101"/>
      <c r="F747" s="101"/>
      <c r="G747" s="101"/>
      <c r="H747" s="101"/>
      <c r="I747" s="101"/>
      <c r="J747" s="101"/>
      <c r="S747" s="101"/>
      <c r="T747" s="241"/>
      <c r="U747" s="241"/>
      <c r="V747" s="241"/>
      <c r="W747" s="241"/>
      <c r="X747" s="241"/>
      <c r="Y747" s="241"/>
      <c r="Z747" s="252"/>
    </row>
    <row r="748" spans="3:26" ht="16.5">
      <c r="C748" s="101"/>
      <c r="D748" s="101"/>
      <c r="E748" s="101"/>
      <c r="F748" s="101"/>
      <c r="G748" s="101"/>
      <c r="H748" s="101"/>
      <c r="I748" s="101"/>
      <c r="J748" s="101"/>
      <c r="S748" s="101"/>
      <c r="T748" s="241"/>
      <c r="U748" s="241"/>
      <c r="V748" s="241"/>
      <c r="W748" s="241"/>
      <c r="X748" s="241"/>
      <c r="Y748" s="241"/>
      <c r="Z748" s="252"/>
    </row>
    <row r="749" spans="3:26" ht="16.5">
      <c r="C749" s="101"/>
      <c r="D749" s="101"/>
      <c r="E749" s="101"/>
      <c r="F749" s="101"/>
      <c r="G749" s="101"/>
      <c r="H749" s="101"/>
      <c r="I749" s="101"/>
      <c r="J749" s="101"/>
      <c r="S749" s="101"/>
      <c r="T749" s="241"/>
      <c r="U749" s="241"/>
      <c r="V749" s="241"/>
      <c r="W749" s="241"/>
      <c r="X749" s="241"/>
      <c r="Y749" s="241"/>
      <c r="Z749" s="252"/>
    </row>
    <row r="750" spans="3:26" ht="16.5">
      <c r="C750" s="101"/>
      <c r="D750" s="101"/>
      <c r="E750" s="101"/>
      <c r="F750" s="101"/>
      <c r="G750" s="101"/>
      <c r="H750" s="101"/>
      <c r="I750" s="101"/>
      <c r="J750" s="101"/>
      <c r="S750" s="101"/>
      <c r="T750" s="241"/>
      <c r="U750" s="241"/>
      <c r="V750" s="241"/>
      <c r="W750" s="241"/>
      <c r="X750" s="241"/>
      <c r="Y750" s="241"/>
      <c r="Z750" s="252"/>
    </row>
    <row r="751" spans="3:26" ht="16.5">
      <c r="C751" s="101"/>
      <c r="D751" s="101"/>
      <c r="E751" s="101"/>
      <c r="F751" s="101"/>
      <c r="G751" s="101"/>
      <c r="H751" s="101"/>
      <c r="I751" s="101"/>
      <c r="J751" s="101"/>
      <c r="S751" s="101"/>
      <c r="T751" s="241"/>
      <c r="U751" s="241"/>
      <c r="V751" s="241"/>
      <c r="W751" s="241"/>
      <c r="X751" s="241"/>
      <c r="Y751" s="241"/>
      <c r="Z751" s="252"/>
    </row>
    <row r="752" spans="3:26" ht="16.5">
      <c r="C752" s="101"/>
      <c r="D752" s="101"/>
      <c r="E752" s="101"/>
      <c r="F752" s="101"/>
      <c r="G752" s="101"/>
      <c r="H752" s="101"/>
      <c r="I752" s="101"/>
      <c r="J752" s="101"/>
      <c r="S752" s="101"/>
      <c r="T752" s="241"/>
      <c r="U752" s="241"/>
      <c r="V752" s="241"/>
      <c r="W752" s="241"/>
      <c r="X752" s="241"/>
      <c r="Y752" s="241"/>
      <c r="Z752" s="252"/>
    </row>
    <row r="753" spans="3:26" ht="16.5">
      <c r="C753" s="101"/>
      <c r="D753" s="101"/>
      <c r="E753" s="101"/>
      <c r="F753" s="101"/>
      <c r="G753" s="101"/>
      <c r="H753" s="101"/>
      <c r="I753" s="101"/>
      <c r="J753" s="101"/>
      <c r="S753" s="101"/>
      <c r="T753" s="241"/>
      <c r="U753" s="241"/>
      <c r="V753" s="241"/>
      <c r="W753" s="241"/>
      <c r="X753" s="241"/>
      <c r="Y753" s="241"/>
      <c r="Z753" s="252"/>
    </row>
    <row r="754" spans="3:26" ht="16.5">
      <c r="C754" s="101"/>
      <c r="D754" s="101"/>
      <c r="E754" s="101"/>
      <c r="F754" s="101"/>
      <c r="G754" s="101"/>
      <c r="H754" s="101"/>
      <c r="I754" s="101"/>
      <c r="J754" s="101"/>
      <c r="S754" s="101"/>
      <c r="T754" s="241"/>
      <c r="U754" s="241"/>
      <c r="V754" s="241"/>
      <c r="W754" s="241"/>
      <c r="X754" s="241"/>
      <c r="Y754" s="241"/>
      <c r="Z754" s="252"/>
    </row>
    <row r="755" spans="3:26" ht="16.5">
      <c r="C755" s="101"/>
      <c r="D755" s="101"/>
      <c r="E755" s="101"/>
      <c r="F755" s="101"/>
      <c r="G755" s="101"/>
      <c r="H755" s="101"/>
      <c r="I755" s="101"/>
      <c r="J755" s="101"/>
      <c r="S755" s="101"/>
      <c r="T755" s="241"/>
      <c r="U755" s="241"/>
      <c r="V755" s="241"/>
      <c r="W755" s="241"/>
      <c r="X755" s="241"/>
      <c r="Y755" s="241"/>
      <c r="Z755" s="252"/>
    </row>
    <row r="756" spans="3:26" ht="16.5">
      <c r="C756" s="101"/>
      <c r="D756" s="101"/>
      <c r="E756" s="101"/>
      <c r="F756" s="101"/>
      <c r="G756" s="101"/>
      <c r="H756" s="101"/>
      <c r="I756" s="101"/>
      <c r="J756" s="101"/>
      <c r="S756" s="101"/>
      <c r="T756" s="241"/>
      <c r="U756" s="241"/>
      <c r="V756" s="241"/>
      <c r="W756" s="241"/>
      <c r="X756" s="241"/>
      <c r="Y756" s="241"/>
      <c r="Z756" s="252"/>
    </row>
    <row r="757" spans="3:26" ht="16.5">
      <c r="C757" s="101"/>
      <c r="D757" s="101"/>
      <c r="E757" s="101"/>
      <c r="F757" s="101"/>
      <c r="G757" s="101"/>
      <c r="H757" s="101"/>
      <c r="I757" s="101"/>
      <c r="J757" s="101"/>
      <c r="S757" s="101"/>
      <c r="T757" s="241"/>
      <c r="U757" s="241"/>
      <c r="V757" s="241"/>
      <c r="W757" s="241"/>
      <c r="X757" s="241"/>
      <c r="Y757" s="241"/>
      <c r="Z757" s="252"/>
    </row>
    <row r="758" spans="3:26" ht="16.5">
      <c r="C758" s="101"/>
      <c r="D758" s="101"/>
      <c r="E758" s="101"/>
      <c r="F758" s="101"/>
      <c r="G758" s="101"/>
      <c r="H758" s="101"/>
      <c r="I758" s="101"/>
      <c r="J758" s="101"/>
      <c r="S758" s="101"/>
      <c r="T758" s="241"/>
      <c r="U758" s="241"/>
      <c r="V758" s="241"/>
      <c r="W758" s="241"/>
      <c r="X758" s="241"/>
      <c r="Y758" s="241"/>
      <c r="Z758" s="252"/>
    </row>
    <row r="759" spans="3:26" ht="16.5">
      <c r="C759" s="101"/>
      <c r="D759" s="101"/>
      <c r="E759" s="101"/>
      <c r="F759" s="101"/>
      <c r="G759" s="101"/>
      <c r="H759" s="101"/>
      <c r="I759" s="101"/>
      <c r="J759" s="101"/>
      <c r="S759" s="101"/>
      <c r="T759" s="241"/>
      <c r="U759" s="241"/>
      <c r="V759" s="241"/>
      <c r="W759" s="241"/>
      <c r="X759" s="241"/>
      <c r="Y759" s="241"/>
      <c r="Z759" s="252"/>
    </row>
    <row r="760" spans="3:26" ht="16.5">
      <c r="C760" s="101"/>
      <c r="D760" s="101"/>
      <c r="E760" s="101"/>
      <c r="F760" s="101"/>
      <c r="G760" s="101"/>
      <c r="H760" s="101"/>
      <c r="I760" s="101"/>
      <c r="J760" s="101"/>
      <c r="S760" s="101"/>
      <c r="T760" s="241"/>
      <c r="U760" s="241"/>
      <c r="V760" s="241"/>
      <c r="W760" s="241"/>
      <c r="X760" s="241"/>
      <c r="Y760" s="241"/>
      <c r="Z760" s="252"/>
    </row>
    <row r="761" spans="3:26" ht="16.5">
      <c r="C761" s="101"/>
      <c r="D761" s="101"/>
      <c r="E761" s="101"/>
      <c r="F761" s="101"/>
      <c r="G761" s="101"/>
      <c r="H761" s="101"/>
      <c r="I761" s="101"/>
      <c r="J761" s="101"/>
      <c r="S761" s="101"/>
      <c r="T761" s="241"/>
      <c r="U761" s="241"/>
      <c r="V761" s="241"/>
      <c r="W761" s="241"/>
      <c r="X761" s="241"/>
      <c r="Y761" s="241"/>
      <c r="Z761" s="252"/>
    </row>
    <row r="762" spans="3:26" ht="16.5">
      <c r="C762" s="101"/>
      <c r="D762" s="101"/>
      <c r="E762" s="101"/>
      <c r="F762" s="101"/>
      <c r="G762" s="101"/>
      <c r="H762" s="101"/>
      <c r="I762" s="101"/>
      <c r="J762" s="101"/>
      <c r="S762" s="101"/>
      <c r="T762" s="241"/>
      <c r="U762" s="241"/>
      <c r="V762" s="241"/>
      <c r="W762" s="241"/>
      <c r="X762" s="241"/>
      <c r="Y762" s="241"/>
      <c r="Z762" s="252"/>
    </row>
    <row r="763" spans="3:26" ht="16.5">
      <c r="C763" s="101"/>
      <c r="D763" s="101"/>
      <c r="E763" s="101"/>
      <c r="F763" s="101"/>
      <c r="G763" s="101"/>
      <c r="H763" s="101"/>
      <c r="I763" s="101"/>
      <c r="J763" s="101"/>
      <c r="S763" s="101"/>
      <c r="T763" s="241"/>
      <c r="U763" s="241"/>
      <c r="V763" s="241"/>
      <c r="W763" s="241"/>
      <c r="X763" s="241"/>
      <c r="Y763" s="241"/>
      <c r="Z763" s="252"/>
    </row>
    <row r="764" spans="3:26" ht="16.5">
      <c r="C764" s="101"/>
      <c r="D764" s="101"/>
      <c r="E764" s="101"/>
      <c r="F764" s="101"/>
      <c r="G764" s="101"/>
      <c r="H764" s="101"/>
      <c r="I764" s="101"/>
      <c r="J764" s="101"/>
      <c r="S764" s="101"/>
      <c r="T764" s="241"/>
      <c r="U764" s="241"/>
      <c r="V764" s="241"/>
      <c r="W764" s="241"/>
      <c r="X764" s="241"/>
      <c r="Y764" s="241"/>
      <c r="Z764" s="252"/>
    </row>
    <row r="765" spans="3:26" ht="16.5">
      <c r="C765" s="101"/>
      <c r="D765" s="101"/>
      <c r="E765" s="101"/>
      <c r="F765" s="101"/>
      <c r="G765" s="101"/>
      <c r="H765" s="101"/>
      <c r="I765" s="101"/>
      <c r="J765" s="101"/>
      <c r="S765" s="101"/>
      <c r="T765" s="241"/>
      <c r="U765" s="241"/>
      <c r="V765" s="241"/>
      <c r="W765" s="241"/>
      <c r="X765" s="241"/>
      <c r="Y765" s="241"/>
      <c r="Z765" s="252"/>
    </row>
    <row r="766" spans="3:26" ht="16.5">
      <c r="C766" s="101"/>
      <c r="D766" s="101"/>
      <c r="E766" s="101"/>
      <c r="F766" s="101"/>
      <c r="G766" s="101"/>
      <c r="H766" s="101"/>
      <c r="I766" s="101"/>
      <c r="J766" s="101"/>
      <c r="S766" s="101"/>
      <c r="T766" s="241"/>
      <c r="U766" s="241"/>
      <c r="V766" s="241"/>
      <c r="W766" s="241"/>
      <c r="X766" s="241"/>
      <c r="Y766" s="241"/>
      <c r="Z766" s="252"/>
    </row>
    <row r="767" spans="3:26" ht="16.5">
      <c r="C767" s="101"/>
      <c r="D767" s="101"/>
      <c r="E767" s="101"/>
      <c r="F767" s="101"/>
      <c r="G767" s="101"/>
      <c r="H767" s="101"/>
      <c r="I767" s="101"/>
      <c r="J767" s="101"/>
      <c r="S767" s="101"/>
      <c r="T767" s="241"/>
      <c r="U767" s="241"/>
      <c r="V767" s="241"/>
      <c r="W767" s="241"/>
      <c r="X767" s="241"/>
      <c r="Y767" s="241"/>
      <c r="Z767" s="252"/>
    </row>
    <row r="768" spans="3:26" ht="16.5">
      <c r="C768" s="101"/>
      <c r="D768" s="101"/>
      <c r="E768" s="101"/>
      <c r="F768" s="101"/>
      <c r="G768" s="101"/>
      <c r="H768" s="101"/>
      <c r="I768" s="101"/>
      <c r="J768" s="101"/>
      <c r="S768" s="101"/>
      <c r="T768" s="241"/>
      <c r="U768" s="241"/>
      <c r="V768" s="241"/>
      <c r="W768" s="241"/>
      <c r="X768" s="241"/>
      <c r="Y768" s="241"/>
      <c r="Z768" s="252"/>
    </row>
    <row r="769" spans="3:26" ht="16.5">
      <c r="C769" s="101"/>
      <c r="D769" s="101"/>
      <c r="E769" s="101"/>
      <c r="F769" s="101"/>
      <c r="G769" s="101"/>
      <c r="H769" s="101"/>
      <c r="I769" s="101"/>
      <c r="J769" s="101"/>
      <c r="S769" s="101"/>
      <c r="T769" s="241"/>
      <c r="U769" s="241"/>
      <c r="V769" s="241"/>
      <c r="W769" s="241"/>
      <c r="X769" s="241"/>
      <c r="Y769" s="241"/>
      <c r="Z769" s="252"/>
    </row>
    <row r="770" spans="3:26" ht="16.5">
      <c r="C770" s="101"/>
      <c r="D770" s="101"/>
      <c r="E770" s="101"/>
      <c r="F770" s="101"/>
      <c r="G770" s="101"/>
      <c r="H770" s="101"/>
      <c r="I770" s="101"/>
      <c r="J770" s="101"/>
      <c r="S770" s="101"/>
      <c r="T770" s="241"/>
      <c r="U770" s="241"/>
      <c r="V770" s="241"/>
      <c r="W770" s="241"/>
      <c r="X770" s="241"/>
      <c r="Y770" s="241"/>
      <c r="Z770" s="252"/>
    </row>
    <row r="771" spans="3:26" ht="16.5">
      <c r="C771" s="101"/>
      <c r="D771" s="101"/>
      <c r="E771" s="101"/>
      <c r="F771" s="101"/>
      <c r="G771" s="101"/>
      <c r="H771" s="101"/>
      <c r="I771" s="101"/>
      <c r="J771" s="101"/>
      <c r="S771" s="101"/>
      <c r="T771" s="241"/>
      <c r="U771" s="241"/>
      <c r="V771" s="241"/>
      <c r="W771" s="241"/>
      <c r="X771" s="241"/>
      <c r="Y771" s="241"/>
      <c r="Z771" s="252"/>
    </row>
    <row r="772" spans="3:26" ht="16.5">
      <c r="C772" s="101"/>
      <c r="D772" s="101"/>
      <c r="E772" s="101"/>
      <c r="F772" s="101"/>
      <c r="G772" s="101"/>
      <c r="H772" s="101"/>
      <c r="I772" s="101"/>
      <c r="J772" s="101"/>
      <c r="S772" s="101"/>
      <c r="T772" s="241"/>
      <c r="U772" s="241"/>
      <c r="V772" s="241"/>
      <c r="W772" s="241"/>
      <c r="X772" s="241"/>
      <c r="Y772" s="241"/>
      <c r="Z772" s="252"/>
    </row>
    <row r="773" spans="3:26" ht="16.5">
      <c r="C773" s="101"/>
      <c r="D773" s="101"/>
      <c r="E773" s="101"/>
      <c r="F773" s="101"/>
      <c r="G773" s="101"/>
      <c r="H773" s="101"/>
      <c r="I773" s="101"/>
      <c r="J773" s="101"/>
      <c r="S773" s="101"/>
      <c r="T773" s="241"/>
      <c r="U773" s="241"/>
      <c r="V773" s="241"/>
      <c r="W773" s="241"/>
      <c r="X773" s="241"/>
      <c r="Y773" s="241"/>
      <c r="Z773" s="252"/>
    </row>
    <row r="774" spans="3:26" ht="16.5">
      <c r="C774" s="101"/>
      <c r="D774" s="101"/>
      <c r="E774" s="101"/>
      <c r="F774" s="101"/>
      <c r="G774" s="101"/>
      <c r="H774" s="101"/>
      <c r="I774" s="101"/>
      <c r="J774" s="101"/>
      <c r="S774" s="101"/>
      <c r="T774" s="241"/>
      <c r="U774" s="241"/>
      <c r="V774" s="241"/>
      <c r="W774" s="241"/>
      <c r="X774" s="241"/>
      <c r="Y774" s="241"/>
      <c r="Z774" s="252"/>
    </row>
    <row r="775" spans="3:26" ht="16.5">
      <c r="C775" s="101"/>
      <c r="D775" s="101"/>
      <c r="E775" s="101"/>
      <c r="F775" s="101"/>
      <c r="G775" s="101"/>
      <c r="H775" s="101"/>
      <c r="I775" s="101"/>
      <c r="J775" s="101"/>
      <c r="S775" s="101"/>
      <c r="T775" s="241"/>
      <c r="U775" s="241"/>
      <c r="V775" s="241"/>
      <c r="W775" s="241"/>
      <c r="X775" s="241"/>
      <c r="Y775" s="241"/>
      <c r="Z775" s="252"/>
    </row>
    <row r="776" spans="3:26" ht="16.5">
      <c r="C776" s="101"/>
      <c r="D776" s="101"/>
      <c r="E776" s="101"/>
      <c r="F776" s="101"/>
      <c r="G776" s="101"/>
      <c r="H776" s="101"/>
      <c r="I776" s="101"/>
      <c r="J776" s="101"/>
      <c r="S776" s="101"/>
      <c r="T776" s="241"/>
      <c r="U776" s="241"/>
      <c r="V776" s="241"/>
      <c r="W776" s="241"/>
      <c r="X776" s="241"/>
      <c r="Y776" s="241"/>
      <c r="Z776" s="252"/>
    </row>
    <row r="777" spans="3:26" ht="16.5">
      <c r="C777" s="101"/>
      <c r="D777" s="101"/>
      <c r="E777" s="101"/>
      <c r="F777" s="101"/>
      <c r="G777" s="101"/>
      <c r="H777" s="101"/>
      <c r="I777" s="101"/>
      <c r="J777" s="101"/>
      <c r="S777" s="101"/>
      <c r="T777" s="241"/>
      <c r="U777" s="241"/>
      <c r="V777" s="241"/>
      <c r="W777" s="241"/>
      <c r="X777" s="241"/>
      <c r="Y777" s="241"/>
      <c r="Z777" s="252"/>
    </row>
    <row r="778" spans="3:26" ht="16.5">
      <c r="C778" s="101"/>
      <c r="D778" s="101"/>
      <c r="E778" s="101"/>
      <c r="F778" s="101"/>
      <c r="G778" s="101"/>
      <c r="H778" s="101"/>
      <c r="I778" s="101"/>
      <c r="J778" s="101"/>
      <c r="S778" s="101"/>
      <c r="T778" s="241"/>
      <c r="U778" s="241"/>
      <c r="V778" s="241"/>
      <c r="W778" s="241"/>
      <c r="X778" s="241"/>
      <c r="Y778" s="241"/>
      <c r="Z778" s="252"/>
    </row>
    <row r="779" spans="3:26" ht="16.5">
      <c r="C779" s="101"/>
      <c r="D779" s="101"/>
      <c r="E779" s="101"/>
      <c r="F779" s="101"/>
      <c r="G779" s="101"/>
      <c r="H779" s="101"/>
      <c r="I779" s="101"/>
      <c r="J779" s="101"/>
      <c r="S779" s="101"/>
      <c r="T779" s="241"/>
      <c r="U779" s="241"/>
      <c r="V779" s="241"/>
      <c r="W779" s="241"/>
      <c r="X779" s="241"/>
      <c r="Y779" s="241"/>
      <c r="Z779" s="252"/>
    </row>
    <row r="780" spans="3:26" ht="16.5">
      <c r="C780" s="101"/>
      <c r="D780" s="101"/>
      <c r="E780" s="101"/>
      <c r="F780" s="101"/>
      <c r="G780" s="101"/>
      <c r="H780" s="101"/>
      <c r="I780" s="101"/>
      <c r="J780" s="101"/>
      <c r="S780" s="101"/>
      <c r="T780" s="241"/>
      <c r="U780" s="241"/>
      <c r="V780" s="241"/>
      <c r="W780" s="241"/>
      <c r="X780" s="241"/>
      <c r="Y780" s="241"/>
      <c r="Z780" s="252"/>
    </row>
    <row r="781" spans="3:26" ht="16.5">
      <c r="C781" s="101"/>
      <c r="D781" s="101"/>
      <c r="E781" s="101"/>
      <c r="F781" s="101"/>
      <c r="G781" s="101"/>
      <c r="H781" s="101"/>
      <c r="I781" s="101"/>
      <c r="J781" s="101"/>
      <c r="S781" s="101"/>
      <c r="T781" s="241"/>
      <c r="U781" s="241"/>
      <c r="V781" s="241"/>
      <c r="W781" s="241"/>
      <c r="X781" s="241"/>
      <c r="Y781" s="241"/>
      <c r="Z781" s="252"/>
    </row>
    <row r="782" spans="3:26" ht="16.5">
      <c r="C782" s="101"/>
      <c r="D782" s="101"/>
      <c r="E782" s="101"/>
      <c r="F782" s="101"/>
      <c r="G782" s="101"/>
      <c r="H782" s="101"/>
      <c r="I782" s="101"/>
      <c r="J782" s="101"/>
      <c r="S782" s="101"/>
      <c r="T782" s="241"/>
      <c r="U782" s="241"/>
      <c r="V782" s="241"/>
      <c r="W782" s="241"/>
      <c r="X782" s="241"/>
      <c r="Y782" s="241"/>
      <c r="Z782" s="252"/>
    </row>
    <row r="783" spans="3:26" ht="16.5">
      <c r="C783" s="101"/>
      <c r="D783" s="101"/>
      <c r="E783" s="101"/>
      <c r="F783" s="101"/>
      <c r="G783" s="101"/>
      <c r="H783" s="101"/>
      <c r="I783" s="101"/>
      <c r="J783" s="101"/>
      <c r="S783" s="101"/>
      <c r="T783" s="241"/>
      <c r="U783" s="241"/>
      <c r="V783" s="241"/>
      <c r="W783" s="241"/>
      <c r="X783" s="241"/>
      <c r="Y783" s="241"/>
      <c r="Z783" s="252"/>
    </row>
    <row r="784" spans="3:26" ht="16.5">
      <c r="C784" s="101"/>
      <c r="D784" s="101"/>
      <c r="E784" s="101"/>
      <c r="F784" s="101"/>
      <c r="G784" s="101"/>
      <c r="H784" s="101"/>
      <c r="I784" s="101"/>
      <c r="J784" s="101"/>
      <c r="S784" s="101"/>
      <c r="T784" s="241"/>
      <c r="U784" s="241"/>
      <c r="V784" s="241"/>
      <c r="W784" s="241"/>
      <c r="X784" s="241"/>
      <c r="Y784" s="241"/>
      <c r="Z784" s="252"/>
    </row>
    <row r="785" spans="3:26" ht="16.5">
      <c r="C785" s="101"/>
      <c r="D785" s="101"/>
      <c r="E785" s="101"/>
      <c r="F785" s="101"/>
      <c r="G785" s="101"/>
      <c r="H785" s="101"/>
      <c r="I785" s="101"/>
      <c r="J785" s="101"/>
      <c r="S785" s="101"/>
      <c r="T785" s="241"/>
      <c r="U785" s="241"/>
      <c r="V785" s="241"/>
      <c r="W785" s="241"/>
      <c r="X785" s="241"/>
      <c r="Y785" s="241"/>
      <c r="Z785" s="252"/>
    </row>
    <row r="786" spans="3:26" ht="16.5">
      <c r="C786" s="101"/>
      <c r="D786" s="101"/>
      <c r="E786" s="101"/>
      <c r="F786" s="101"/>
      <c r="G786" s="101"/>
      <c r="H786" s="101"/>
      <c r="I786" s="101"/>
      <c r="J786" s="101"/>
      <c r="S786" s="101"/>
      <c r="T786" s="241"/>
      <c r="U786" s="241"/>
      <c r="V786" s="241"/>
      <c r="W786" s="241"/>
      <c r="X786" s="241"/>
      <c r="Y786" s="241"/>
      <c r="Z786" s="252"/>
    </row>
    <row r="787" spans="3:26" ht="16.5">
      <c r="C787" s="101"/>
      <c r="D787" s="101"/>
      <c r="E787" s="101"/>
      <c r="F787" s="101"/>
      <c r="G787" s="101"/>
      <c r="H787" s="101"/>
      <c r="I787" s="101"/>
      <c r="J787" s="101"/>
      <c r="S787" s="101"/>
      <c r="T787" s="241"/>
      <c r="U787" s="241"/>
      <c r="V787" s="241"/>
      <c r="W787" s="241"/>
      <c r="X787" s="241"/>
      <c r="Y787" s="241"/>
      <c r="Z787" s="252"/>
    </row>
    <row r="788" spans="3:26" ht="16.5">
      <c r="C788" s="101"/>
      <c r="D788" s="101"/>
      <c r="E788" s="101"/>
      <c r="F788" s="101"/>
      <c r="G788" s="101"/>
      <c r="H788" s="101"/>
      <c r="I788" s="101"/>
      <c r="J788" s="101"/>
      <c r="S788" s="101"/>
      <c r="T788" s="241"/>
      <c r="U788" s="241"/>
      <c r="V788" s="241"/>
      <c r="W788" s="241"/>
      <c r="X788" s="241"/>
      <c r="Y788" s="241"/>
      <c r="Z788" s="252"/>
    </row>
    <row r="789" spans="3:26" ht="16.5">
      <c r="C789" s="101"/>
      <c r="D789" s="101"/>
      <c r="E789" s="101"/>
      <c r="F789" s="101"/>
      <c r="G789" s="101"/>
      <c r="H789" s="101"/>
      <c r="I789" s="101"/>
      <c r="J789" s="101"/>
      <c r="S789" s="101"/>
      <c r="T789" s="241"/>
      <c r="U789" s="241"/>
      <c r="V789" s="241"/>
      <c r="W789" s="241"/>
      <c r="X789" s="241"/>
      <c r="Y789" s="241"/>
      <c r="Z789" s="252"/>
    </row>
    <row r="790" spans="3:26" ht="16.5">
      <c r="C790" s="101"/>
      <c r="D790" s="101"/>
      <c r="E790" s="101"/>
      <c r="F790" s="101"/>
      <c r="G790" s="101"/>
      <c r="H790" s="101"/>
      <c r="I790" s="101"/>
      <c r="J790" s="101"/>
      <c r="S790" s="101"/>
      <c r="T790" s="241"/>
      <c r="U790" s="241"/>
      <c r="V790" s="241"/>
      <c r="W790" s="241"/>
      <c r="X790" s="241"/>
      <c r="Y790" s="241"/>
      <c r="Z790" s="252"/>
    </row>
    <row r="791" spans="3:26" ht="16.5">
      <c r="C791" s="101"/>
      <c r="D791" s="101"/>
      <c r="E791" s="101"/>
      <c r="F791" s="101"/>
      <c r="G791" s="101"/>
      <c r="H791" s="101"/>
      <c r="I791" s="101"/>
      <c r="J791" s="101"/>
      <c r="S791" s="101"/>
      <c r="T791" s="241"/>
      <c r="U791" s="241"/>
      <c r="V791" s="241"/>
      <c r="W791" s="241"/>
      <c r="X791" s="241"/>
      <c r="Y791" s="241"/>
      <c r="Z791" s="252"/>
    </row>
    <row r="792" spans="3:26" ht="16.5">
      <c r="C792" s="101"/>
      <c r="D792" s="101"/>
      <c r="E792" s="101"/>
      <c r="F792" s="101"/>
      <c r="G792" s="101"/>
      <c r="H792" s="101"/>
      <c r="I792" s="101"/>
      <c r="J792" s="101"/>
      <c r="S792" s="101"/>
      <c r="T792" s="241"/>
      <c r="U792" s="241"/>
      <c r="V792" s="241"/>
      <c r="W792" s="241"/>
      <c r="X792" s="241"/>
      <c r="Y792" s="241"/>
      <c r="Z792" s="252"/>
    </row>
    <row r="793" spans="3:26" ht="16.5">
      <c r="C793" s="101"/>
      <c r="D793" s="101"/>
      <c r="E793" s="101"/>
      <c r="F793" s="101"/>
      <c r="G793" s="101"/>
      <c r="H793" s="101"/>
      <c r="I793" s="101"/>
      <c r="J793" s="101"/>
      <c r="S793" s="101"/>
      <c r="T793" s="241"/>
      <c r="U793" s="241"/>
      <c r="V793" s="241"/>
      <c r="W793" s="241"/>
      <c r="X793" s="241"/>
      <c r="Y793" s="241"/>
      <c r="Z793" s="252"/>
    </row>
    <row r="794" spans="3:26" ht="16.5">
      <c r="C794" s="101"/>
      <c r="D794" s="101"/>
      <c r="E794" s="101"/>
      <c r="F794" s="101"/>
      <c r="G794" s="101"/>
      <c r="H794" s="101"/>
      <c r="I794" s="101"/>
      <c r="J794" s="101"/>
      <c r="S794" s="101"/>
      <c r="T794" s="241"/>
      <c r="U794" s="241"/>
      <c r="V794" s="241"/>
      <c r="W794" s="241"/>
      <c r="X794" s="241"/>
      <c r="Y794" s="241"/>
      <c r="Z794" s="252"/>
    </row>
    <row r="795" spans="3:26" ht="16.5">
      <c r="C795" s="101"/>
      <c r="D795" s="101"/>
      <c r="E795" s="101"/>
      <c r="F795" s="101"/>
      <c r="G795" s="101"/>
      <c r="H795" s="101"/>
      <c r="I795" s="101"/>
      <c r="J795" s="101"/>
      <c r="S795" s="101"/>
      <c r="T795" s="241"/>
      <c r="U795" s="241"/>
      <c r="V795" s="241"/>
      <c r="W795" s="241"/>
      <c r="X795" s="241"/>
      <c r="Y795" s="241"/>
      <c r="Z795" s="252"/>
    </row>
    <row r="796" spans="3:26" ht="16.5">
      <c r="C796" s="101"/>
      <c r="D796" s="101"/>
      <c r="E796" s="101"/>
      <c r="F796" s="101"/>
      <c r="G796" s="101"/>
      <c r="H796" s="101"/>
      <c r="I796" s="101"/>
      <c r="J796" s="101"/>
      <c r="S796" s="101"/>
      <c r="T796" s="241"/>
      <c r="U796" s="241"/>
      <c r="V796" s="241"/>
      <c r="W796" s="241"/>
      <c r="X796" s="241"/>
      <c r="Y796" s="241"/>
      <c r="Z796" s="252"/>
    </row>
    <row r="797" spans="3:26" ht="16.5">
      <c r="C797" s="101"/>
      <c r="D797" s="101"/>
      <c r="E797" s="101"/>
      <c r="F797" s="101"/>
      <c r="G797" s="101"/>
      <c r="H797" s="101"/>
      <c r="I797" s="101"/>
      <c r="J797" s="101"/>
      <c r="S797" s="101"/>
      <c r="T797" s="241"/>
      <c r="U797" s="241"/>
      <c r="V797" s="241"/>
      <c r="W797" s="241"/>
      <c r="X797" s="241"/>
      <c r="Y797" s="241"/>
      <c r="Z797" s="252"/>
    </row>
    <row r="798" spans="3:26" ht="16.5">
      <c r="C798" s="101"/>
      <c r="D798" s="101"/>
      <c r="E798" s="101"/>
      <c r="F798" s="101"/>
      <c r="G798" s="101"/>
      <c r="H798" s="101"/>
      <c r="I798" s="101"/>
      <c r="J798" s="101"/>
      <c r="S798" s="101"/>
      <c r="T798" s="241"/>
      <c r="U798" s="241"/>
      <c r="V798" s="241"/>
      <c r="W798" s="241"/>
      <c r="X798" s="241"/>
      <c r="Y798" s="241"/>
      <c r="Z798" s="252"/>
    </row>
    <row r="799" spans="3:26" ht="16.5">
      <c r="C799" s="101"/>
      <c r="D799" s="101"/>
      <c r="E799" s="101"/>
      <c r="F799" s="101"/>
      <c r="G799" s="101"/>
      <c r="H799" s="101"/>
      <c r="I799" s="101"/>
      <c r="J799" s="101"/>
      <c r="S799" s="101"/>
      <c r="T799" s="241"/>
      <c r="U799" s="241"/>
      <c r="V799" s="241"/>
      <c r="W799" s="241"/>
      <c r="X799" s="241"/>
      <c r="Y799" s="241"/>
      <c r="Z799" s="252"/>
    </row>
    <row r="800" spans="3:26" ht="16.5">
      <c r="C800" s="101"/>
      <c r="D800" s="101"/>
      <c r="E800" s="101"/>
      <c r="F800" s="101"/>
      <c r="G800" s="101"/>
      <c r="H800" s="101"/>
      <c r="I800" s="101"/>
      <c r="J800" s="101"/>
      <c r="S800" s="101"/>
      <c r="T800" s="241"/>
      <c r="U800" s="241"/>
      <c r="V800" s="241"/>
      <c r="W800" s="241"/>
      <c r="X800" s="241"/>
      <c r="Y800" s="241"/>
      <c r="Z800" s="252"/>
    </row>
    <row r="801" spans="3:26" ht="16.5">
      <c r="C801" s="101"/>
      <c r="D801" s="101"/>
      <c r="E801" s="101"/>
      <c r="F801" s="101"/>
      <c r="G801" s="101"/>
      <c r="H801" s="101"/>
      <c r="I801" s="101"/>
      <c r="J801" s="101"/>
      <c r="S801" s="101"/>
      <c r="T801" s="241"/>
      <c r="U801" s="241"/>
      <c r="V801" s="241"/>
      <c r="W801" s="241"/>
      <c r="X801" s="241"/>
      <c r="Y801" s="241"/>
      <c r="Z801" s="252"/>
    </row>
    <row r="802" spans="3:26" ht="16.5">
      <c r="C802" s="101"/>
      <c r="D802" s="101"/>
      <c r="E802" s="101"/>
      <c r="F802" s="101"/>
      <c r="G802" s="101"/>
      <c r="H802" s="101"/>
      <c r="I802" s="101"/>
      <c r="J802" s="101"/>
      <c r="S802" s="101"/>
      <c r="T802" s="241"/>
      <c r="U802" s="241"/>
      <c r="V802" s="241"/>
      <c r="W802" s="241"/>
      <c r="X802" s="241"/>
      <c r="Y802" s="241"/>
      <c r="Z802" s="252"/>
    </row>
    <row r="803" spans="3:26" ht="16.5">
      <c r="C803" s="101"/>
      <c r="D803" s="101"/>
      <c r="E803" s="101"/>
      <c r="F803" s="101"/>
      <c r="G803" s="101"/>
      <c r="H803" s="101"/>
      <c r="I803" s="101"/>
      <c r="J803" s="101"/>
      <c r="S803" s="101"/>
      <c r="T803" s="241"/>
      <c r="U803" s="241"/>
      <c r="V803" s="241"/>
      <c r="W803" s="241"/>
      <c r="X803" s="241"/>
      <c r="Y803" s="241"/>
      <c r="Z803" s="252"/>
    </row>
    <row r="804" spans="3:26" ht="16.5">
      <c r="C804" s="101"/>
      <c r="D804" s="101"/>
      <c r="E804" s="101"/>
      <c r="F804" s="101"/>
      <c r="G804" s="101"/>
      <c r="H804" s="101"/>
      <c r="I804" s="101"/>
      <c r="J804" s="101"/>
      <c r="S804" s="101"/>
      <c r="T804" s="241"/>
      <c r="U804" s="241"/>
      <c r="V804" s="241"/>
      <c r="W804" s="241"/>
      <c r="X804" s="241"/>
      <c r="Y804" s="241"/>
      <c r="Z804" s="252"/>
    </row>
    <row r="805" spans="3:26" ht="16.5">
      <c r="C805" s="101"/>
      <c r="D805" s="101"/>
      <c r="E805" s="101"/>
      <c r="F805" s="101"/>
      <c r="G805" s="101"/>
      <c r="H805" s="101"/>
      <c r="I805" s="101"/>
      <c r="J805" s="101"/>
      <c r="S805" s="101"/>
      <c r="T805" s="241"/>
      <c r="U805" s="241"/>
      <c r="V805" s="241"/>
      <c r="W805" s="241"/>
      <c r="X805" s="241"/>
      <c r="Y805" s="241"/>
      <c r="Z805" s="252"/>
    </row>
    <row r="806" spans="3:26" ht="16.5">
      <c r="C806" s="101"/>
      <c r="D806" s="101"/>
      <c r="E806" s="101"/>
      <c r="F806" s="101"/>
      <c r="G806" s="101"/>
      <c r="H806" s="101"/>
      <c r="I806" s="101"/>
      <c r="J806" s="101"/>
      <c r="S806" s="101"/>
      <c r="T806" s="241"/>
      <c r="U806" s="241"/>
      <c r="V806" s="241"/>
      <c r="W806" s="241"/>
      <c r="X806" s="241"/>
      <c r="Y806" s="241"/>
      <c r="Z806" s="252"/>
    </row>
    <row r="807" spans="3:26" ht="16.5">
      <c r="C807" s="101"/>
      <c r="D807" s="101"/>
      <c r="E807" s="101"/>
      <c r="F807" s="101"/>
      <c r="G807" s="101"/>
      <c r="H807" s="101"/>
      <c r="I807" s="101"/>
      <c r="J807" s="101"/>
      <c r="S807" s="101"/>
      <c r="T807" s="241"/>
      <c r="U807" s="241"/>
      <c r="V807" s="241"/>
      <c r="W807" s="241"/>
      <c r="X807" s="241"/>
      <c r="Y807" s="241"/>
      <c r="Z807" s="252"/>
    </row>
    <row r="808" spans="3:26" ht="16.5">
      <c r="C808" s="101"/>
      <c r="D808" s="101"/>
      <c r="E808" s="101"/>
      <c r="F808" s="101"/>
      <c r="G808" s="101"/>
      <c r="H808" s="101"/>
      <c r="I808" s="101"/>
      <c r="J808" s="101"/>
      <c r="S808" s="101"/>
      <c r="T808" s="241"/>
      <c r="U808" s="241"/>
      <c r="V808" s="241"/>
      <c r="W808" s="241"/>
      <c r="X808" s="241"/>
      <c r="Y808" s="241"/>
      <c r="Z808" s="252"/>
    </row>
    <row r="809" spans="3:26" ht="16.5">
      <c r="C809" s="101"/>
      <c r="D809" s="101"/>
      <c r="E809" s="101"/>
      <c r="F809" s="101"/>
      <c r="G809" s="101"/>
      <c r="H809" s="101"/>
      <c r="I809" s="101"/>
      <c r="J809" s="101"/>
      <c r="S809" s="101"/>
      <c r="T809" s="241"/>
      <c r="U809" s="241"/>
      <c r="V809" s="241"/>
      <c r="W809" s="241"/>
      <c r="X809" s="241"/>
      <c r="Y809" s="241"/>
      <c r="Z809" s="252"/>
    </row>
    <row r="810" spans="3:26" ht="16.5">
      <c r="C810" s="101"/>
      <c r="D810" s="101"/>
      <c r="E810" s="101"/>
      <c r="F810" s="101"/>
      <c r="G810" s="101"/>
      <c r="H810" s="101"/>
      <c r="I810" s="101"/>
      <c r="J810" s="101"/>
      <c r="S810" s="101"/>
      <c r="T810" s="241"/>
      <c r="U810" s="241"/>
      <c r="V810" s="241"/>
      <c r="W810" s="241"/>
      <c r="X810" s="241"/>
      <c r="Y810" s="241"/>
      <c r="Z810" s="252"/>
    </row>
    <row r="811" spans="3:26" ht="16.5">
      <c r="C811" s="101"/>
      <c r="D811" s="101"/>
      <c r="E811" s="101"/>
      <c r="F811" s="101"/>
      <c r="G811" s="101"/>
      <c r="H811" s="101"/>
      <c r="I811" s="101"/>
      <c r="J811" s="101"/>
      <c r="S811" s="101"/>
      <c r="T811" s="241"/>
      <c r="U811" s="241"/>
      <c r="V811" s="241"/>
      <c r="W811" s="241"/>
      <c r="X811" s="241"/>
      <c r="Y811" s="241"/>
      <c r="Z811" s="252"/>
    </row>
    <row r="812" spans="3:26" ht="16.5">
      <c r="C812" s="101"/>
      <c r="D812" s="101"/>
      <c r="E812" s="101"/>
      <c r="F812" s="101"/>
      <c r="G812" s="101"/>
      <c r="H812" s="101"/>
      <c r="I812" s="101"/>
      <c r="J812" s="101"/>
      <c r="S812" s="101"/>
      <c r="T812" s="241"/>
      <c r="U812" s="241"/>
      <c r="V812" s="241"/>
      <c r="W812" s="241"/>
      <c r="X812" s="241"/>
      <c r="Y812" s="241"/>
      <c r="Z812" s="252"/>
    </row>
    <row r="813" spans="3:26" ht="16.5">
      <c r="C813" s="101"/>
      <c r="D813" s="101"/>
      <c r="E813" s="101"/>
      <c r="F813" s="101"/>
      <c r="G813" s="101"/>
      <c r="H813" s="101"/>
      <c r="I813" s="101"/>
      <c r="J813" s="101"/>
      <c r="S813" s="101"/>
      <c r="T813" s="241"/>
      <c r="U813" s="241"/>
      <c r="V813" s="241"/>
      <c r="W813" s="241"/>
      <c r="X813" s="241"/>
      <c r="Y813" s="241"/>
      <c r="Z813" s="252"/>
    </row>
    <row r="814" spans="3:26" ht="16.5">
      <c r="C814" s="101"/>
      <c r="D814" s="101"/>
      <c r="E814" s="101"/>
      <c r="F814" s="101"/>
      <c r="G814" s="101"/>
      <c r="H814" s="101"/>
      <c r="I814" s="101"/>
      <c r="J814" s="101"/>
      <c r="S814" s="101"/>
      <c r="T814" s="241"/>
      <c r="U814" s="241"/>
      <c r="V814" s="241"/>
      <c r="W814" s="241"/>
      <c r="X814" s="241"/>
      <c r="Y814" s="241"/>
      <c r="Z814" s="252"/>
    </row>
    <row r="815" spans="3:26" ht="16.5">
      <c r="C815" s="101"/>
      <c r="D815" s="101"/>
      <c r="E815" s="101"/>
      <c r="F815" s="101"/>
      <c r="G815" s="101"/>
      <c r="H815" s="101"/>
      <c r="I815" s="101"/>
      <c r="J815" s="101"/>
      <c r="S815" s="101"/>
      <c r="T815" s="241"/>
      <c r="U815" s="241"/>
      <c r="V815" s="241"/>
      <c r="W815" s="241"/>
      <c r="X815" s="241"/>
      <c r="Y815" s="241"/>
      <c r="Z815" s="252"/>
    </row>
    <row r="816" spans="3:26" ht="16.5">
      <c r="C816" s="101"/>
      <c r="D816" s="101"/>
      <c r="E816" s="101"/>
      <c r="F816" s="101"/>
      <c r="G816" s="101"/>
      <c r="H816" s="101"/>
      <c r="I816" s="101"/>
      <c r="J816" s="101"/>
      <c r="S816" s="101"/>
      <c r="T816" s="241"/>
      <c r="U816" s="241"/>
      <c r="V816" s="241"/>
      <c r="W816" s="241"/>
      <c r="X816" s="241"/>
      <c r="Y816" s="241"/>
      <c r="Z816" s="252"/>
    </row>
    <row r="817" spans="3:26" ht="16.5">
      <c r="C817" s="101"/>
      <c r="D817" s="101"/>
      <c r="E817" s="101"/>
      <c r="F817" s="101"/>
      <c r="G817" s="101"/>
      <c r="H817" s="101"/>
      <c r="I817" s="101"/>
      <c r="J817" s="101"/>
      <c r="S817" s="101"/>
      <c r="T817" s="241"/>
      <c r="U817" s="241"/>
      <c r="V817" s="241"/>
      <c r="W817" s="241"/>
      <c r="X817" s="241"/>
      <c r="Y817" s="241"/>
      <c r="Z817" s="252"/>
    </row>
    <row r="818" spans="3:26" ht="16.5">
      <c r="C818" s="101"/>
      <c r="D818" s="101"/>
      <c r="E818" s="101"/>
      <c r="F818" s="101"/>
      <c r="G818" s="101"/>
      <c r="H818" s="101"/>
      <c r="I818" s="101"/>
      <c r="J818" s="101"/>
      <c r="S818" s="101"/>
      <c r="T818" s="241"/>
      <c r="U818" s="241"/>
      <c r="V818" s="241"/>
      <c r="W818" s="241"/>
      <c r="X818" s="241"/>
      <c r="Y818" s="241"/>
      <c r="Z818" s="252"/>
    </row>
    <row r="819" spans="3:26" ht="16.5">
      <c r="C819" s="101"/>
      <c r="D819" s="101"/>
      <c r="E819" s="101"/>
      <c r="F819" s="101"/>
      <c r="G819" s="101"/>
      <c r="H819" s="101"/>
      <c r="I819" s="101"/>
      <c r="J819" s="101"/>
      <c r="S819" s="101"/>
      <c r="T819" s="241"/>
      <c r="U819" s="241"/>
      <c r="V819" s="241"/>
      <c r="W819" s="241"/>
      <c r="X819" s="241"/>
      <c r="Y819" s="241"/>
      <c r="Z819" s="252"/>
    </row>
    <row r="820" spans="3:26" ht="16.5">
      <c r="C820" s="101"/>
      <c r="D820" s="101"/>
      <c r="E820" s="101"/>
      <c r="F820" s="101"/>
      <c r="G820" s="101"/>
      <c r="H820" s="101"/>
      <c r="I820" s="101"/>
      <c r="J820" s="101"/>
      <c r="S820" s="101"/>
      <c r="T820" s="241"/>
      <c r="U820" s="241"/>
      <c r="V820" s="241"/>
      <c r="W820" s="241"/>
      <c r="X820" s="241"/>
      <c r="Y820" s="241"/>
      <c r="Z820" s="252"/>
    </row>
    <row r="821" spans="3:26" ht="16.5">
      <c r="C821" s="101"/>
      <c r="D821" s="101"/>
      <c r="E821" s="101"/>
      <c r="F821" s="101"/>
      <c r="G821" s="101"/>
      <c r="H821" s="101"/>
      <c r="I821" s="101"/>
      <c r="J821" s="101"/>
      <c r="S821" s="101"/>
      <c r="T821" s="241"/>
      <c r="U821" s="241"/>
      <c r="V821" s="241"/>
      <c r="W821" s="241"/>
      <c r="X821" s="241"/>
      <c r="Y821" s="241"/>
      <c r="Z821" s="252"/>
    </row>
    <row r="822" spans="3:26" ht="16.5">
      <c r="C822" s="101"/>
      <c r="D822" s="101"/>
      <c r="E822" s="101"/>
      <c r="F822" s="101"/>
      <c r="G822" s="101"/>
      <c r="H822" s="101"/>
      <c r="I822" s="101"/>
      <c r="J822" s="101"/>
      <c r="S822" s="101"/>
      <c r="T822" s="241"/>
      <c r="U822" s="241"/>
      <c r="V822" s="241"/>
      <c r="W822" s="241"/>
      <c r="X822" s="241"/>
      <c r="Y822" s="241"/>
      <c r="Z822" s="252"/>
    </row>
    <row r="823" spans="3:26" ht="16.5">
      <c r="C823" s="101"/>
      <c r="D823" s="101"/>
      <c r="E823" s="101"/>
      <c r="F823" s="101"/>
      <c r="G823" s="101"/>
      <c r="H823" s="101"/>
      <c r="I823" s="101"/>
      <c r="J823" s="101"/>
      <c r="S823" s="101"/>
      <c r="T823" s="241"/>
      <c r="U823" s="241"/>
      <c r="V823" s="241"/>
      <c r="W823" s="241"/>
      <c r="X823" s="241"/>
      <c r="Y823" s="241"/>
      <c r="Z823" s="252"/>
    </row>
    <row r="824" spans="3:26" ht="16.5">
      <c r="C824" s="101"/>
      <c r="D824" s="101"/>
      <c r="E824" s="101"/>
      <c r="F824" s="101"/>
      <c r="G824" s="101"/>
      <c r="H824" s="101"/>
      <c r="I824" s="101"/>
      <c r="J824" s="101"/>
      <c r="S824" s="101"/>
      <c r="T824" s="241"/>
      <c r="U824" s="241"/>
      <c r="V824" s="241"/>
      <c r="W824" s="241"/>
      <c r="X824" s="241"/>
      <c r="Y824" s="241"/>
      <c r="Z824" s="252"/>
    </row>
    <row r="825" spans="3:26" ht="16.5">
      <c r="C825" s="101"/>
      <c r="D825" s="101"/>
      <c r="E825" s="101"/>
      <c r="F825" s="101"/>
      <c r="G825" s="101"/>
      <c r="H825" s="101"/>
      <c r="I825" s="101"/>
      <c r="J825" s="101"/>
      <c r="S825" s="101"/>
      <c r="T825" s="241"/>
      <c r="U825" s="241"/>
      <c r="V825" s="241"/>
      <c r="W825" s="241"/>
      <c r="X825" s="241"/>
      <c r="Y825" s="241"/>
      <c r="Z825" s="252"/>
    </row>
    <row r="826" spans="3:26" ht="16.5">
      <c r="C826" s="101"/>
      <c r="D826" s="101"/>
      <c r="E826" s="101"/>
      <c r="F826" s="101"/>
      <c r="G826" s="101"/>
      <c r="H826" s="101"/>
      <c r="I826" s="101"/>
      <c r="J826" s="101"/>
      <c r="S826" s="101"/>
      <c r="T826" s="241"/>
      <c r="U826" s="241"/>
      <c r="V826" s="241"/>
      <c r="W826" s="241"/>
      <c r="X826" s="241"/>
      <c r="Y826" s="241"/>
      <c r="Z826" s="252"/>
    </row>
    <row r="827" spans="3:26" ht="16.5">
      <c r="C827" s="101"/>
      <c r="D827" s="101"/>
      <c r="E827" s="101"/>
      <c r="F827" s="101"/>
      <c r="G827" s="101"/>
      <c r="H827" s="101"/>
      <c r="I827" s="101"/>
      <c r="J827" s="101"/>
      <c r="S827" s="101"/>
      <c r="T827" s="241"/>
      <c r="U827" s="241"/>
      <c r="V827" s="241"/>
      <c r="W827" s="241"/>
      <c r="X827" s="241"/>
      <c r="Y827" s="241"/>
      <c r="Z827" s="252"/>
    </row>
    <row r="828" spans="3:26" ht="16.5">
      <c r="C828" s="101"/>
      <c r="D828" s="101"/>
      <c r="E828" s="101"/>
      <c r="F828" s="101"/>
      <c r="G828" s="101"/>
      <c r="H828" s="101"/>
      <c r="I828" s="101"/>
      <c r="J828" s="101"/>
      <c r="S828" s="101"/>
      <c r="T828" s="241"/>
      <c r="U828" s="241"/>
      <c r="V828" s="241"/>
      <c r="W828" s="241"/>
      <c r="X828" s="241"/>
      <c r="Y828" s="241"/>
      <c r="Z828" s="252"/>
    </row>
    <row r="829" spans="3:26" ht="16.5">
      <c r="C829" s="101"/>
      <c r="D829" s="101"/>
      <c r="E829" s="101"/>
      <c r="F829" s="101"/>
      <c r="G829" s="101"/>
      <c r="H829" s="101"/>
      <c r="I829" s="101"/>
      <c r="J829" s="101"/>
      <c r="S829" s="101"/>
      <c r="T829" s="241"/>
      <c r="U829" s="241"/>
      <c r="V829" s="241"/>
      <c r="W829" s="241"/>
      <c r="X829" s="241"/>
      <c r="Y829" s="241"/>
      <c r="Z829" s="252"/>
    </row>
    <row r="830" spans="3:26" ht="16.5">
      <c r="C830" s="101"/>
      <c r="D830" s="101"/>
      <c r="E830" s="101"/>
      <c r="F830" s="101"/>
      <c r="G830" s="101"/>
      <c r="H830" s="101"/>
      <c r="I830" s="101"/>
      <c r="J830" s="101"/>
      <c r="S830" s="101"/>
      <c r="T830" s="241"/>
      <c r="U830" s="241"/>
      <c r="V830" s="241"/>
      <c r="W830" s="241"/>
      <c r="X830" s="241"/>
      <c r="Y830" s="241"/>
      <c r="Z830" s="252"/>
    </row>
    <row r="831" spans="3:26" ht="16.5">
      <c r="C831" s="101"/>
      <c r="D831" s="101"/>
      <c r="E831" s="101"/>
      <c r="F831" s="101"/>
      <c r="G831" s="101"/>
      <c r="H831" s="101"/>
      <c r="I831" s="101"/>
      <c r="J831" s="101"/>
      <c r="S831" s="101"/>
      <c r="T831" s="241"/>
      <c r="U831" s="241"/>
      <c r="V831" s="241"/>
      <c r="W831" s="241"/>
      <c r="X831" s="241"/>
      <c r="Y831" s="241"/>
      <c r="Z831" s="252"/>
    </row>
    <row r="832" spans="3:26" ht="16.5">
      <c r="C832" s="101"/>
      <c r="D832" s="101"/>
      <c r="E832" s="101"/>
      <c r="F832" s="101"/>
      <c r="G832" s="101"/>
      <c r="H832" s="101"/>
      <c r="I832" s="101"/>
      <c r="J832" s="101"/>
      <c r="S832" s="101"/>
      <c r="T832" s="241"/>
      <c r="U832" s="241"/>
      <c r="V832" s="241"/>
      <c r="W832" s="241"/>
      <c r="X832" s="241"/>
      <c r="Y832" s="241"/>
      <c r="Z832" s="252"/>
    </row>
    <row r="833" spans="3:26" ht="16.5">
      <c r="C833" s="101"/>
      <c r="D833" s="101"/>
      <c r="E833" s="101"/>
      <c r="F833" s="101"/>
      <c r="G833" s="101"/>
      <c r="H833" s="101"/>
      <c r="I833" s="101"/>
      <c r="J833" s="101"/>
      <c r="S833" s="101"/>
      <c r="T833" s="241"/>
      <c r="U833" s="241"/>
      <c r="V833" s="241"/>
      <c r="W833" s="241"/>
      <c r="X833" s="241"/>
      <c r="Y833" s="241"/>
      <c r="Z833" s="252"/>
    </row>
    <row r="834" spans="3:26" ht="16.5">
      <c r="C834" s="101"/>
      <c r="D834" s="101"/>
      <c r="E834" s="101"/>
      <c r="F834" s="101"/>
      <c r="G834" s="101"/>
      <c r="H834" s="101"/>
      <c r="I834" s="101"/>
      <c r="J834" s="101"/>
      <c r="S834" s="101"/>
      <c r="T834" s="241"/>
      <c r="U834" s="241"/>
      <c r="V834" s="241"/>
      <c r="W834" s="241"/>
      <c r="X834" s="241"/>
      <c r="Y834" s="241"/>
      <c r="Z834" s="252"/>
    </row>
    <row r="835" spans="3:26" ht="16.5">
      <c r="C835" s="101"/>
      <c r="D835" s="101"/>
      <c r="E835" s="101"/>
      <c r="F835" s="101"/>
      <c r="G835" s="101"/>
      <c r="H835" s="101"/>
      <c r="I835" s="101"/>
      <c r="J835" s="101"/>
      <c r="S835" s="101"/>
      <c r="T835" s="241"/>
      <c r="U835" s="241"/>
      <c r="V835" s="241"/>
      <c r="W835" s="241"/>
      <c r="X835" s="241"/>
      <c r="Y835" s="241"/>
      <c r="Z835" s="252"/>
    </row>
    <row r="836" spans="3:26" ht="16.5">
      <c r="C836" s="101"/>
      <c r="D836" s="101"/>
      <c r="E836" s="101"/>
      <c r="F836" s="101"/>
      <c r="G836" s="101"/>
      <c r="H836" s="101"/>
      <c r="I836" s="101"/>
      <c r="J836" s="101"/>
      <c r="S836" s="101"/>
      <c r="T836" s="241"/>
      <c r="U836" s="241"/>
      <c r="V836" s="241"/>
      <c r="W836" s="241"/>
      <c r="X836" s="241"/>
      <c r="Y836" s="241"/>
      <c r="Z836" s="252"/>
    </row>
    <row r="837" spans="3:26" ht="16.5">
      <c r="C837" s="101"/>
      <c r="D837" s="101"/>
      <c r="E837" s="101"/>
      <c r="F837" s="101"/>
      <c r="G837" s="101"/>
      <c r="H837" s="101"/>
      <c r="I837" s="101"/>
      <c r="J837" s="101"/>
      <c r="S837" s="101"/>
      <c r="T837" s="241"/>
      <c r="U837" s="241"/>
      <c r="V837" s="241"/>
      <c r="W837" s="241"/>
      <c r="X837" s="241"/>
      <c r="Y837" s="241"/>
      <c r="Z837" s="252"/>
    </row>
    <row r="838" spans="3:26" ht="16.5">
      <c r="C838" s="101"/>
      <c r="D838" s="101"/>
      <c r="E838" s="101"/>
      <c r="F838" s="101"/>
      <c r="G838" s="101"/>
      <c r="H838" s="101"/>
      <c r="I838" s="101"/>
      <c r="J838" s="101"/>
      <c r="S838" s="101"/>
      <c r="T838" s="241"/>
      <c r="U838" s="241"/>
      <c r="V838" s="241"/>
      <c r="W838" s="241"/>
      <c r="X838" s="241"/>
      <c r="Y838" s="241"/>
      <c r="Z838" s="252"/>
    </row>
    <row r="839" spans="3:26" ht="16.5">
      <c r="C839" s="101"/>
      <c r="D839" s="101"/>
      <c r="E839" s="101"/>
      <c r="F839" s="101"/>
      <c r="G839" s="101"/>
      <c r="H839" s="101"/>
      <c r="I839" s="101"/>
      <c r="J839" s="101"/>
      <c r="S839" s="101"/>
      <c r="T839" s="241"/>
      <c r="U839" s="241"/>
      <c r="V839" s="241"/>
      <c r="W839" s="241"/>
      <c r="X839" s="241"/>
      <c r="Y839" s="241"/>
      <c r="Z839" s="252"/>
    </row>
    <row r="840" spans="3:26" ht="16.5">
      <c r="C840" s="101"/>
      <c r="D840" s="101"/>
      <c r="E840" s="101"/>
      <c r="F840" s="101"/>
      <c r="G840" s="101"/>
      <c r="H840" s="101"/>
      <c r="I840" s="101"/>
      <c r="J840" s="101"/>
      <c r="S840" s="101"/>
      <c r="T840" s="241"/>
      <c r="U840" s="241"/>
      <c r="V840" s="241"/>
      <c r="W840" s="241"/>
      <c r="X840" s="241"/>
      <c r="Y840" s="241"/>
      <c r="Z840" s="252"/>
    </row>
    <row r="841" spans="3:26" ht="16.5">
      <c r="C841" s="101"/>
      <c r="D841" s="101"/>
      <c r="E841" s="101"/>
      <c r="F841" s="101"/>
      <c r="G841" s="101"/>
      <c r="H841" s="101"/>
      <c r="I841" s="101"/>
      <c r="J841" s="101"/>
      <c r="S841" s="101"/>
      <c r="T841" s="241"/>
      <c r="U841" s="241"/>
      <c r="V841" s="241"/>
      <c r="W841" s="241"/>
      <c r="X841" s="241"/>
      <c r="Y841" s="241"/>
      <c r="Z841" s="252"/>
    </row>
    <row r="842" spans="3:26" ht="16.5">
      <c r="C842" s="101"/>
      <c r="D842" s="101"/>
      <c r="E842" s="101"/>
      <c r="F842" s="101"/>
      <c r="G842" s="101"/>
      <c r="H842" s="101"/>
      <c r="I842" s="101"/>
      <c r="J842" s="101"/>
      <c r="S842" s="101"/>
      <c r="T842" s="241"/>
      <c r="U842" s="241"/>
      <c r="V842" s="241"/>
      <c r="W842" s="241"/>
      <c r="X842" s="241"/>
      <c r="Y842" s="241"/>
      <c r="Z842" s="252"/>
    </row>
    <row r="843" spans="3:26" ht="16.5">
      <c r="C843" s="101"/>
      <c r="D843" s="101"/>
      <c r="E843" s="101"/>
      <c r="F843" s="101"/>
      <c r="G843" s="101"/>
      <c r="H843" s="101"/>
      <c r="I843" s="101"/>
      <c r="J843" s="101"/>
      <c r="S843" s="101"/>
      <c r="T843" s="241"/>
      <c r="U843" s="241"/>
      <c r="V843" s="241"/>
      <c r="W843" s="241"/>
      <c r="X843" s="241"/>
      <c r="Y843" s="241"/>
      <c r="Z843" s="252"/>
    </row>
    <row r="844" spans="3:26" ht="16.5">
      <c r="C844" s="101"/>
      <c r="D844" s="101"/>
      <c r="E844" s="101"/>
      <c r="F844" s="101"/>
      <c r="G844" s="101"/>
      <c r="H844" s="101"/>
      <c r="I844" s="101"/>
      <c r="J844" s="101"/>
      <c r="S844" s="101"/>
      <c r="T844" s="241"/>
      <c r="U844" s="241"/>
      <c r="V844" s="241"/>
      <c r="W844" s="241"/>
      <c r="X844" s="241"/>
      <c r="Y844" s="241"/>
      <c r="Z844" s="252"/>
    </row>
    <row r="845" spans="3:26" ht="16.5">
      <c r="C845" s="101"/>
      <c r="D845" s="101"/>
      <c r="E845" s="101"/>
      <c r="F845" s="101"/>
      <c r="G845" s="101"/>
      <c r="H845" s="101"/>
      <c r="I845" s="101"/>
      <c r="J845" s="101"/>
      <c r="S845" s="101"/>
      <c r="T845" s="241"/>
      <c r="U845" s="241"/>
      <c r="V845" s="241"/>
      <c r="W845" s="241"/>
      <c r="X845" s="241"/>
      <c r="Y845" s="241"/>
      <c r="Z845" s="252"/>
    </row>
    <row r="846" spans="3:26" ht="16.5">
      <c r="C846" s="101"/>
      <c r="D846" s="101"/>
      <c r="E846" s="101"/>
      <c r="F846" s="101"/>
      <c r="G846" s="101"/>
      <c r="H846" s="101"/>
      <c r="I846" s="101"/>
      <c r="J846" s="101"/>
      <c r="S846" s="101"/>
      <c r="T846" s="241"/>
      <c r="U846" s="241"/>
      <c r="V846" s="241"/>
      <c r="W846" s="241"/>
      <c r="X846" s="241"/>
      <c r="Y846" s="241"/>
      <c r="Z846" s="252"/>
    </row>
    <row r="847" spans="3:26" ht="16.5">
      <c r="C847" s="101"/>
      <c r="D847" s="101"/>
      <c r="E847" s="101"/>
      <c r="F847" s="101"/>
      <c r="G847" s="101"/>
      <c r="H847" s="101"/>
      <c r="I847" s="101"/>
      <c r="J847" s="101"/>
      <c r="S847" s="101"/>
      <c r="T847" s="241"/>
      <c r="U847" s="241"/>
      <c r="V847" s="241"/>
      <c r="W847" s="241"/>
      <c r="X847" s="241"/>
      <c r="Y847" s="241"/>
      <c r="Z847" s="252"/>
    </row>
    <row r="848" spans="3:26" ht="16.5">
      <c r="C848" s="101"/>
      <c r="D848" s="101"/>
      <c r="E848" s="101"/>
      <c r="F848" s="101"/>
      <c r="G848" s="101"/>
      <c r="H848" s="101"/>
      <c r="I848" s="101"/>
      <c r="J848" s="101"/>
      <c r="S848" s="101"/>
      <c r="T848" s="241"/>
      <c r="U848" s="241"/>
      <c r="V848" s="241"/>
      <c r="W848" s="241"/>
      <c r="X848" s="241"/>
      <c r="Y848" s="241"/>
      <c r="Z848" s="252"/>
    </row>
    <row r="849" spans="3:26" ht="16.5">
      <c r="C849" s="101"/>
      <c r="D849" s="101"/>
      <c r="E849" s="101"/>
      <c r="F849" s="101"/>
      <c r="G849" s="101"/>
      <c r="H849" s="101"/>
      <c r="I849" s="101"/>
      <c r="J849" s="101"/>
      <c r="S849" s="101"/>
      <c r="T849" s="241"/>
      <c r="U849" s="241"/>
      <c r="V849" s="241"/>
      <c r="W849" s="241"/>
      <c r="X849" s="241"/>
      <c r="Y849" s="241"/>
      <c r="Z849" s="252"/>
    </row>
    <row r="850" spans="3:26" ht="16.5">
      <c r="C850" s="101"/>
      <c r="D850" s="101"/>
      <c r="E850" s="101"/>
      <c r="F850" s="101"/>
      <c r="G850" s="101"/>
      <c r="H850" s="101"/>
      <c r="I850" s="101"/>
      <c r="J850" s="101"/>
      <c r="S850" s="101"/>
      <c r="T850" s="241"/>
      <c r="U850" s="241"/>
      <c r="V850" s="241"/>
      <c r="W850" s="241"/>
      <c r="X850" s="241"/>
      <c r="Y850" s="241"/>
      <c r="Z850" s="252"/>
    </row>
    <row r="851" spans="3:26" ht="16.5">
      <c r="C851" s="101"/>
      <c r="D851" s="101"/>
      <c r="E851" s="101"/>
      <c r="F851" s="101"/>
      <c r="G851" s="101"/>
      <c r="H851" s="101"/>
      <c r="I851" s="101"/>
      <c r="J851" s="101"/>
      <c r="S851" s="101"/>
      <c r="T851" s="241"/>
      <c r="U851" s="241"/>
      <c r="V851" s="241"/>
      <c r="W851" s="241"/>
      <c r="X851" s="241"/>
      <c r="Y851" s="241"/>
      <c r="Z851" s="252"/>
    </row>
    <row r="852" spans="3:26" ht="16.5">
      <c r="C852" s="101"/>
      <c r="D852" s="101"/>
      <c r="E852" s="101"/>
      <c r="F852" s="101"/>
      <c r="G852" s="101"/>
      <c r="H852" s="101"/>
      <c r="I852" s="101"/>
      <c r="J852" s="101"/>
      <c r="S852" s="101"/>
      <c r="T852" s="241"/>
      <c r="U852" s="241"/>
      <c r="V852" s="241"/>
      <c r="W852" s="241"/>
      <c r="X852" s="241"/>
      <c r="Y852" s="241"/>
      <c r="Z852" s="252"/>
    </row>
    <row r="853" spans="3:26" ht="16.5">
      <c r="C853" s="101"/>
      <c r="D853" s="101"/>
      <c r="E853" s="101"/>
      <c r="F853" s="101"/>
      <c r="G853" s="101"/>
      <c r="H853" s="101"/>
      <c r="I853" s="101"/>
      <c r="J853" s="101"/>
      <c r="S853" s="101"/>
      <c r="T853" s="241"/>
      <c r="U853" s="241"/>
      <c r="V853" s="241"/>
      <c r="W853" s="241"/>
      <c r="X853" s="241"/>
      <c r="Y853" s="241"/>
      <c r="Z853" s="252"/>
    </row>
    <row r="854" spans="3:26" ht="16.5">
      <c r="C854" s="101"/>
      <c r="D854" s="101"/>
      <c r="E854" s="101"/>
      <c r="F854" s="101"/>
      <c r="G854" s="101"/>
      <c r="H854" s="101"/>
      <c r="I854" s="101"/>
      <c r="J854" s="101"/>
      <c r="S854" s="101"/>
      <c r="T854" s="241"/>
      <c r="U854" s="241"/>
      <c r="V854" s="241"/>
      <c r="W854" s="241"/>
      <c r="X854" s="241"/>
      <c r="Y854" s="241"/>
      <c r="Z854" s="252"/>
    </row>
    <row r="855" spans="3:26" ht="16.5">
      <c r="C855" s="101"/>
      <c r="D855" s="101"/>
      <c r="E855" s="101"/>
      <c r="F855" s="101"/>
      <c r="G855" s="101"/>
      <c r="H855" s="101"/>
      <c r="I855" s="101"/>
      <c r="J855" s="101"/>
      <c r="S855" s="101"/>
      <c r="T855" s="241"/>
      <c r="U855" s="241"/>
      <c r="V855" s="241"/>
      <c r="W855" s="241"/>
      <c r="X855" s="241"/>
      <c r="Y855" s="241"/>
      <c r="Z855" s="252"/>
    </row>
    <row r="856" spans="3:26" ht="16.5">
      <c r="C856" s="101"/>
      <c r="D856" s="101"/>
      <c r="E856" s="101"/>
      <c r="F856" s="101"/>
      <c r="G856" s="101"/>
      <c r="H856" s="101"/>
      <c r="I856" s="101"/>
      <c r="J856" s="101"/>
      <c r="S856" s="101"/>
      <c r="T856" s="241"/>
      <c r="U856" s="241"/>
      <c r="V856" s="241"/>
      <c r="W856" s="241"/>
      <c r="X856" s="241"/>
      <c r="Y856" s="241"/>
      <c r="Z856" s="252"/>
    </row>
    <row r="857" spans="3:26" ht="16.5">
      <c r="C857" s="101"/>
      <c r="D857" s="101"/>
      <c r="E857" s="101"/>
      <c r="F857" s="101"/>
      <c r="G857" s="101"/>
      <c r="H857" s="101"/>
      <c r="I857" s="101"/>
      <c r="J857" s="101"/>
      <c r="S857" s="101"/>
      <c r="T857" s="241"/>
      <c r="U857" s="241"/>
      <c r="V857" s="241"/>
      <c r="W857" s="241"/>
      <c r="X857" s="241"/>
      <c r="Y857" s="241"/>
      <c r="Z857" s="252"/>
    </row>
    <row r="858" spans="3:26" ht="16.5">
      <c r="C858" s="101"/>
      <c r="D858" s="101"/>
      <c r="E858" s="101"/>
      <c r="F858" s="101"/>
      <c r="G858" s="101"/>
      <c r="H858" s="101"/>
      <c r="I858" s="101"/>
      <c r="J858" s="101"/>
      <c r="S858" s="101"/>
      <c r="T858" s="241"/>
      <c r="U858" s="241"/>
      <c r="V858" s="241"/>
      <c r="W858" s="241"/>
      <c r="X858" s="241"/>
      <c r="Y858" s="241"/>
      <c r="Z858" s="252"/>
    </row>
    <row r="859" spans="3:26" ht="16.5">
      <c r="C859" s="101"/>
      <c r="D859" s="101"/>
      <c r="E859" s="101"/>
      <c r="F859" s="101"/>
      <c r="G859" s="101"/>
      <c r="H859" s="101"/>
      <c r="I859" s="101"/>
      <c r="J859" s="101"/>
      <c r="S859" s="101"/>
      <c r="T859" s="241"/>
      <c r="U859" s="241"/>
      <c r="V859" s="241"/>
      <c r="W859" s="241"/>
      <c r="X859" s="241"/>
      <c r="Y859" s="241"/>
      <c r="Z859" s="252"/>
    </row>
    <row r="860" spans="3:26" ht="16.5">
      <c r="C860" s="101"/>
      <c r="D860" s="101"/>
      <c r="E860" s="101"/>
      <c r="F860" s="101"/>
      <c r="G860" s="101"/>
      <c r="H860" s="101"/>
      <c r="I860" s="101"/>
      <c r="J860" s="101"/>
      <c r="S860" s="101"/>
      <c r="T860" s="241"/>
      <c r="U860" s="241"/>
      <c r="V860" s="241"/>
      <c r="W860" s="241"/>
      <c r="X860" s="241"/>
      <c r="Y860" s="241"/>
      <c r="Z860" s="252"/>
    </row>
    <row r="861" spans="3:26" ht="16.5">
      <c r="C861" s="101"/>
      <c r="D861" s="101"/>
      <c r="E861" s="101"/>
      <c r="F861" s="101"/>
      <c r="G861" s="101"/>
      <c r="H861" s="101"/>
      <c r="I861" s="101"/>
      <c r="J861" s="101"/>
      <c r="S861" s="101"/>
      <c r="T861" s="241"/>
      <c r="U861" s="241"/>
      <c r="V861" s="241"/>
      <c r="W861" s="241"/>
      <c r="X861" s="241"/>
      <c r="Y861" s="241"/>
      <c r="Z861" s="252"/>
    </row>
    <row r="862" spans="3:26" ht="16.5">
      <c r="C862" s="101"/>
      <c r="D862" s="101"/>
      <c r="E862" s="101"/>
      <c r="F862" s="101"/>
      <c r="G862" s="101"/>
      <c r="H862" s="101"/>
      <c r="I862" s="101"/>
      <c r="J862" s="101"/>
      <c r="S862" s="101"/>
      <c r="T862" s="241"/>
      <c r="U862" s="241"/>
      <c r="V862" s="241"/>
      <c r="W862" s="241"/>
      <c r="X862" s="241"/>
      <c r="Y862" s="241"/>
      <c r="Z862" s="252"/>
    </row>
    <row r="863" spans="3:26" ht="16.5">
      <c r="C863" s="101"/>
      <c r="D863" s="101"/>
      <c r="E863" s="101"/>
      <c r="F863" s="101"/>
      <c r="G863" s="101"/>
      <c r="H863" s="101"/>
      <c r="I863" s="101"/>
      <c r="J863" s="101"/>
      <c r="S863" s="101"/>
      <c r="T863" s="241"/>
      <c r="U863" s="241"/>
      <c r="V863" s="241"/>
      <c r="W863" s="241"/>
      <c r="X863" s="241"/>
      <c r="Y863" s="241"/>
      <c r="Z863" s="252"/>
    </row>
    <row r="864" spans="3:26" ht="16.5">
      <c r="C864" s="101"/>
      <c r="D864" s="101"/>
      <c r="E864" s="101"/>
      <c r="F864" s="101"/>
      <c r="G864" s="101"/>
      <c r="H864" s="101"/>
      <c r="I864" s="101"/>
      <c r="J864" s="101"/>
      <c r="S864" s="101"/>
      <c r="T864" s="241"/>
      <c r="U864" s="241"/>
      <c r="V864" s="241"/>
      <c r="W864" s="241"/>
      <c r="X864" s="241"/>
      <c r="Y864" s="241"/>
      <c r="Z864" s="252"/>
    </row>
    <row r="865" spans="3:26" ht="16.5">
      <c r="C865" s="101"/>
      <c r="D865" s="101"/>
      <c r="E865" s="101"/>
      <c r="F865" s="101"/>
      <c r="G865" s="101"/>
      <c r="H865" s="101"/>
      <c r="I865" s="101"/>
      <c r="J865" s="101"/>
      <c r="S865" s="101"/>
      <c r="T865" s="241"/>
      <c r="U865" s="241"/>
      <c r="V865" s="241"/>
      <c r="W865" s="241"/>
      <c r="X865" s="241"/>
      <c r="Y865" s="241"/>
      <c r="Z865" s="252"/>
    </row>
    <row r="866" spans="3:26" ht="16.5">
      <c r="C866" s="101"/>
      <c r="D866" s="101"/>
      <c r="E866" s="101"/>
      <c r="F866" s="101"/>
      <c r="G866" s="101"/>
      <c r="H866" s="101"/>
      <c r="I866" s="101"/>
      <c r="J866" s="101"/>
      <c r="S866" s="101"/>
      <c r="T866" s="241"/>
      <c r="U866" s="241"/>
      <c r="V866" s="241"/>
      <c r="W866" s="241"/>
      <c r="X866" s="241"/>
      <c r="Y866" s="241"/>
      <c r="Z866" s="252"/>
    </row>
    <row r="867" spans="3:26" ht="16.5">
      <c r="C867" s="101"/>
      <c r="D867" s="101"/>
      <c r="E867" s="101"/>
      <c r="F867" s="101"/>
      <c r="G867" s="101"/>
      <c r="H867" s="101"/>
      <c r="I867" s="101"/>
      <c r="J867" s="101"/>
      <c r="S867" s="101"/>
      <c r="T867" s="241"/>
      <c r="U867" s="241"/>
      <c r="V867" s="241"/>
      <c r="W867" s="241"/>
      <c r="X867" s="241"/>
      <c r="Y867" s="241"/>
      <c r="Z867" s="252"/>
    </row>
    <row r="868" spans="3:26" ht="16.5">
      <c r="C868" s="101"/>
      <c r="D868" s="101"/>
      <c r="E868" s="101"/>
      <c r="F868" s="101"/>
      <c r="G868" s="101"/>
      <c r="H868" s="101"/>
      <c r="I868" s="101"/>
      <c r="J868" s="101"/>
      <c r="S868" s="101"/>
      <c r="T868" s="241"/>
      <c r="U868" s="241"/>
      <c r="V868" s="241"/>
      <c r="W868" s="241"/>
      <c r="X868" s="241"/>
      <c r="Y868" s="241"/>
      <c r="Z868" s="252"/>
    </row>
    <row r="869" spans="3:26" ht="16.5">
      <c r="C869" s="101"/>
      <c r="D869" s="101"/>
      <c r="E869" s="101"/>
      <c r="F869" s="101"/>
      <c r="G869" s="101"/>
      <c r="H869" s="101"/>
      <c r="I869" s="101"/>
      <c r="J869" s="101"/>
      <c r="S869" s="101"/>
      <c r="T869" s="241"/>
      <c r="U869" s="241"/>
      <c r="V869" s="241"/>
      <c r="W869" s="241"/>
      <c r="X869" s="241"/>
      <c r="Y869" s="241"/>
      <c r="Z869" s="252"/>
    </row>
    <row r="870" spans="3:26" ht="16.5">
      <c r="C870" s="101"/>
      <c r="D870" s="101"/>
      <c r="E870" s="101"/>
      <c r="F870" s="101"/>
      <c r="G870" s="101"/>
      <c r="H870" s="101"/>
      <c r="I870" s="101"/>
      <c r="J870" s="101"/>
      <c r="S870" s="101"/>
      <c r="T870" s="241"/>
      <c r="U870" s="241"/>
      <c r="V870" s="241"/>
      <c r="W870" s="241"/>
      <c r="X870" s="241"/>
      <c r="Y870" s="241"/>
      <c r="Z870" s="252"/>
    </row>
    <row r="871" spans="3:26" ht="16.5">
      <c r="C871" s="101"/>
      <c r="D871" s="101"/>
      <c r="E871" s="101"/>
      <c r="F871" s="101"/>
      <c r="G871" s="101"/>
      <c r="H871" s="101"/>
      <c r="I871" s="101"/>
      <c r="J871" s="101"/>
      <c r="S871" s="101"/>
      <c r="T871" s="241"/>
      <c r="U871" s="241"/>
      <c r="V871" s="241"/>
      <c r="W871" s="241"/>
      <c r="X871" s="241"/>
      <c r="Y871" s="241"/>
      <c r="Z871" s="252"/>
    </row>
    <row r="872" spans="3:26" ht="16.5">
      <c r="C872" s="101"/>
      <c r="D872" s="101"/>
      <c r="E872" s="101"/>
      <c r="F872" s="101"/>
      <c r="G872" s="101"/>
      <c r="H872" s="101"/>
      <c r="I872" s="101"/>
      <c r="J872" s="101"/>
      <c r="S872" s="101"/>
      <c r="T872" s="241"/>
      <c r="U872" s="241"/>
      <c r="V872" s="241"/>
      <c r="W872" s="241"/>
      <c r="X872" s="241"/>
      <c r="Y872" s="241"/>
      <c r="Z872" s="252"/>
    </row>
    <row r="873" spans="3:26" ht="16.5">
      <c r="C873" s="101"/>
      <c r="D873" s="101"/>
      <c r="E873" s="101"/>
      <c r="F873" s="101"/>
      <c r="G873" s="101"/>
      <c r="H873" s="101"/>
      <c r="I873" s="101"/>
      <c r="J873" s="101"/>
      <c r="S873" s="101"/>
      <c r="T873" s="241"/>
      <c r="U873" s="241"/>
      <c r="V873" s="241"/>
      <c r="W873" s="241"/>
      <c r="X873" s="241"/>
      <c r="Y873" s="241"/>
      <c r="Z873" s="252"/>
    </row>
    <row r="874" spans="3:26" ht="16.5">
      <c r="C874" s="101"/>
      <c r="D874" s="101"/>
      <c r="E874" s="101"/>
      <c r="F874" s="101"/>
      <c r="G874" s="101"/>
      <c r="H874" s="101"/>
      <c r="I874" s="101"/>
      <c r="J874" s="101"/>
      <c r="S874" s="101"/>
      <c r="T874" s="241"/>
      <c r="U874" s="241"/>
      <c r="V874" s="241"/>
      <c r="W874" s="241"/>
      <c r="X874" s="241"/>
      <c r="Y874" s="241"/>
      <c r="Z874" s="252"/>
    </row>
    <row r="875" spans="3:26" ht="16.5">
      <c r="C875" s="101"/>
      <c r="D875" s="101"/>
      <c r="E875" s="101"/>
      <c r="F875" s="101"/>
      <c r="G875" s="101"/>
      <c r="H875" s="101"/>
      <c r="I875" s="101"/>
      <c r="J875" s="101"/>
      <c r="S875" s="101"/>
      <c r="T875" s="241"/>
      <c r="U875" s="241"/>
      <c r="V875" s="241"/>
      <c r="W875" s="241"/>
      <c r="X875" s="241"/>
      <c r="Y875" s="241"/>
      <c r="Z875" s="252"/>
    </row>
    <row r="876" spans="3:26" ht="16.5">
      <c r="C876" s="101"/>
      <c r="D876" s="101"/>
      <c r="E876" s="101"/>
      <c r="F876" s="101"/>
      <c r="G876" s="101"/>
      <c r="H876" s="101"/>
      <c r="I876" s="101"/>
      <c r="J876" s="101"/>
      <c r="S876" s="101"/>
      <c r="T876" s="241"/>
      <c r="U876" s="241"/>
      <c r="V876" s="241"/>
      <c r="W876" s="241"/>
      <c r="X876" s="241"/>
      <c r="Y876" s="241"/>
      <c r="Z876" s="252"/>
    </row>
    <row r="877" spans="3:26" ht="16.5">
      <c r="C877" s="101"/>
      <c r="D877" s="101"/>
      <c r="E877" s="101"/>
      <c r="F877" s="101"/>
      <c r="G877" s="101"/>
      <c r="H877" s="101"/>
      <c r="I877" s="101"/>
      <c r="J877" s="101"/>
      <c r="S877" s="101"/>
      <c r="T877" s="241"/>
      <c r="U877" s="241"/>
      <c r="V877" s="241"/>
      <c r="W877" s="241"/>
      <c r="X877" s="241"/>
      <c r="Y877" s="241"/>
      <c r="Z877" s="252"/>
    </row>
    <row r="878" spans="3:26" ht="16.5">
      <c r="C878" s="101"/>
      <c r="D878" s="101"/>
      <c r="E878" s="101"/>
      <c r="F878" s="101"/>
      <c r="G878" s="101"/>
      <c r="H878" s="101"/>
      <c r="I878" s="101"/>
      <c r="J878" s="101"/>
      <c r="S878" s="101"/>
      <c r="T878" s="241"/>
      <c r="U878" s="241"/>
      <c r="V878" s="241"/>
      <c r="W878" s="241"/>
      <c r="X878" s="241"/>
      <c r="Y878" s="241"/>
      <c r="Z878" s="252"/>
    </row>
    <row r="879" spans="3:26" ht="16.5">
      <c r="C879" s="101"/>
      <c r="D879" s="101"/>
      <c r="E879" s="101"/>
      <c r="F879" s="101"/>
      <c r="G879" s="101"/>
      <c r="H879" s="101"/>
      <c r="I879" s="101"/>
      <c r="J879" s="101"/>
      <c r="S879" s="101"/>
      <c r="T879" s="241"/>
      <c r="U879" s="241"/>
      <c r="V879" s="241"/>
      <c r="W879" s="241"/>
      <c r="X879" s="241"/>
      <c r="Y879" s="241"/>
      <c r="Z879" s="252"/>
    </row>
    <row r="880" spans="3:26" ht="16.5">
      <c r="C880" s="101"/>
      <c r="D880" s="101"/>
      <c r="E880" s="101"/>
      <c r="F880" s="101"/>
      <c r="G880" s="101"/>
      <c r="H880" s="101"/>
      <c r="I880" s="101"/>
      <c r="J880" s="101"/>
      <c r="S880" s="101"/>
      <c r="T880" s="241"/>
      <c r="U880" s="241"/>
      <c r="V880" s="241"/>
      <c r="W880" s="241"/>
      <c r="X880" s="241"/>
      <c r="Y880" s="241"/>
      <c r="Z880" s="252"/>
    </row>
    <row r="881" spans="3:26" ht="16.5">
      <c r="C881" s="101"/>
      <c r="D881" s="101"/>
      <c r="E881" s="101"/>
      <c r="F881" s="101"/>
      <c r="G881" s="101"/>
      <c r="H881" s="101"/>
      <c r="I881" s="101"/>
      <c r="J881" s="101"/>
      <c r="S881" s="101"/>
      <c r="T881" s="241"/>
      <c r="U881" s="241"/>
      <c r="V881" s="241"/>
      <c r="W881" s="241"/>
      <c r="X881" s="241"/>
      <c r="Y881" s="241"/>
      <c r="Z881" s="252"/>
    </row>
    <row r="882" spans="3:26" ht="16.5">
      <c r="C882" s="101"/>
      <c r="D882" s="101"/>
      <c r="E882" s="101"/>
      <c r="F882" s="101"/>
      <c r="G882" s="101"/>
      <c r="H882" s="101"/>
      <c r="I882" s="101"/>
      <c r="J882" s="101"/>
      <c r="S882" s="101"/>
      <c r="T882" s="241"/>
      <c r="U882" s="241"/>
      <c r="V882" s="241"/>
      <c r="W882" s="241"/>
      <c r="X882" s="241"/>
      <c r="Y882" s="241"/>
      <c r="Z882" s="252"/>
    </row>
    <row r="883" spans="3:26" ht="16.5">
      <c r="C883" s="101"/>
      <c r="D883" s="101"/>
      <c r="E883" s="101"/>
      <c r="F883" s="101"/>
      <c r="G883" s="101"/>
      <c r="H883" s="101"/>
      <c r="I883" s="101"/>
      <c r="J883" s="101"/>
      <c r="S883" s="101"/>
      <c r="T883" s="241"/>
      <c r="U883" s="241"/>
      <c r="V883" s="241"/>
      <c r="W883" s="241"/>
      <c r="X883" s="241"/>
      <c r="Y883" s="241"/>
      <c r="Z883" s="252"/>
    </row>
    <row r="884" spans="3:26" ht="16.5">
      <c r="C884" s="101"/>
      <c r="D884" s="101"/>
      <c r="E884" s="101"/>
      <c r="F884" s="101"/>
      <c r="G884" s="101"/>
      <c r="H884" s="101"/>
      <c r="I884" s="101"/>
      <c r="J884" s="101"/>
      <c r="S884" s="101"/>
      <c r="T884" s="241"/>
      <c r="U884" s="241"/>
      <c r="V884" s="241"/>
      <c r="W884" s="241"/>
      <c r="X884" s="241"/>
      <c r="Y884" s="241"/>
      <c r="Z884" s="252"/>
    </row>
    <row r="885" spans="3:26" ht="16.5">
      <c r="C885" s="101"/>
      <c r="D885" s="101"/>
      <c r="E885" s="101"/>
      <c r="F885" s="101"/>
      <c r="G885" s="101"/>
      <c r="H885" s="101"/>
      <c r="I885" s="101"/>
      <c r="J885" s="101"/>
      <c r="S885" s="101"/>
      <c r="T885" s="241"/>
      <c r="U885" s="241"/>
      <c r="V885" s="241"/>
      <c r="W885" s="241"/>
      <c r="X885" s="241"/>
      <c r="Y885" s="241"/>
      <c r="Z885" s="252"/>
    </row>
    <row r="886" spans="3:26" ht="16.5">
      <c r="C886" s="101"/>
      <c r="D886" s="101"/>
      <c r="E886" s="101"/>
      <c r="F886" s="101"/>
      <c r="G886" s="101"/>
      <c r="H886" s="101"/>
      <c r="I886" s="101"/>
      <c r="J886" s="101"/>
      <c r="S886" s="101"/>
      <c r="T886" s="241"/>
      <c r="U886" s="241"/>
      <c r="V886" s="241"/>
      <c r="W886" s="241"/>
      <c r="X886" s="241"/>
      <c r="Y886" s="241"/>
      <c r="Z886" s="252"/>
    </row>
    <row r="887" spans="3:26" ht="16.5">
      <c r="C887" s="101"/>
      <c r="D887" s="101"/>
      <c r="E887" s="101"/>
      <c r="F887" s="101"/>
      <c r="G887" s="101"/>
      <c r="H887" s="101"/>
      <c r="I887" s="101"/>
      <c r="J887" s="101"/>
      <c r="S887" s="101"/>
      <c r="T887" s="241"/>
      <c r="U887" s="241"/>
      <c r="V887" s="241"/>
      <c r="W887" s="241"/>
      <c r="X887" s="241"/>
      <c r="Y887" s="241"/>
      <c r="Z887" s="252"/>
    </row>
    <row r="888" spans="3:26" ht="16.5">
      <c r="C888" s="101"/>
      <c r="D888" s="101"/>
      <c r="E888" s="101"/>
      <c r="F888" s="101"/>
      <c r="G888" s="101"/>
      <c r="H888" s="101"/>
      <c r="I888" s="101"/>
      <c r="J888" s="101"/>
      <c r="S888" s="101"/>
      <c r="T888" s="241"/>
      <c r="U888" s="241"/>
      <c r="V888" s="241"/>
      <c r="W888" s="241"/>
      <c r="X888" s="241"/>
      <c r="Y888" s="241"/>
      <c r="Z888" s="252"/>
    </row>
    <row r="889" spans="3:26" ht="16.5">
      <c r="C889" s="101"/>
      <c r="D889" s="101"/>
      <c r="E889" s="101"/>
      <c r="F889" s="101"/>
      <c r="G889" s="101"/>
      <c r="H889" s="101"/>
      <c r="I889" s="101"/>
      <c r="J889" s="101"/>
      <c r="S889" s="101"/>
      <c r="T889" s="241"/>
      <c r="U889" s="241"/>
      <c r="V889" s="241"/>
      <c r="W889" s="241"/>
      <c r="X889" s="241"/>
      <c r="Y889" s="241"/>
      <c r="Z889" s="252"/>
    </row>
    <row r="890" spans="3:26" ht="16.5">
      <c r="C890" s="101"/>
      <c r="D890" s="101"/>
      <c r="E890" s="101"/>
      <c r="F890" s="101"/>
      <c r="G890" s="101"/>
      <c r="H890" s="101"/>
      <c r="I890" s="101"/>
      <c r="J890" s="101"/>
      <c r="S890" s="101"/>
      <c r="T890" s="241"/>
      <c r="U890" s="241"/>
      <c r="V890" s="241"/>
      <c r="W890" s="241"/>
      <c r="X890" s="241"/>
      <c r="Y890" s="241"/>
      <c r="Z890" s="252"/>
    </row>
    <row r="891" spans="3:26" ht="16.5">
      <c r="C891" s="101"/>
      <c r="D891" s="101"/>
      <c r="E891" s="101"/>
      <c r="F891" s="101"/>
      <c r="G891" s="101"/>
      <c r="H891" s="101"/>
      <c r="I891" s="101"/>
      <c r="J891" s="101"/>
      <c r="S891" s="101"/>
      <c r="T891" s="241"/>
      <c r="U891" s="241"/>
      <c r="V891" s="241"/>
      <c r="W891" s="241"/>
      <c r="X891" s="241"/>
      <c r="Y891" s="241"/>
      <c r="Z891" s="252"/>
    </row>
    <row r="892" spans="3:26" ht="16.5">
      <c r="C892" s="101"/>
      <c r="D892" s="101"/>
      <c r="E892" s="101"/>
      <c r="F892" s="101"/>
      <c r="G892" s="101"/>
      <c r="H892" s="101"/>
      <c r="I892" s="101"/>
      <c r="J892" s="101"/>
      <c r="S892" s="101"/>
      <c r="T892" s="241"/>
      <c r="U892" s="241"/>
      <c r="V892" s="241"/>
      <c r="W892" s="241"/>
      <c r="X892" s="241"/>
      <c r="Y892" s="241"/>
      <c r="Z892" s="252"/>
    </row>
    <row r="893" spans="3:26" ht="16.5">
      <c r="C893" s="101"/>
      <c r="D893" s="101"/>
      <c r="E893" s="101"/>
      <c r="F893" s="101"/>
      <c r="G893" s="101"/>
      <c r="H893" s="101"/>
      <c r="I893" s="101"/>
      <c r="J893" s="101"/>
      <c r="S893" s="101"/>
      <c r="T893" s="241"/>
      <c r="U893" s="241"/>
      <c r="V893" s="241"/>
      <c r="W893" s="241"/>
      <c r="X893" s="241"/>
      <c r="Y893" s="241"/>
      <c r="Z893" s="252"/>
    </row>
    <row r="894" spans="3:26" ht="16.5">
      <c r="C894" s="101"/>
      <c r="D894" s="101"/>
      <c r="E894" s="101"/>
      <c r="F894" s="101"/>
      <c r="G894" s="101"/>
      <c r="H894" s="101"/>
      <c r="I894" s="101"/>
      <c r="J894" s="101"/>
      <c r="S894" s="101"/>
      <c r="T894" s="241"/>
      <c r="U894" s="241"/>
      <c r="V894" s="241"/>
      <c r="W894" s="241"/>
      <c r="X894" s="241"/>
      <c r="Y894" s="241"/>
      <c r="Z894" s="252"/>
    </row>
    <row r="895" spans="3:26" ht="16.5">
      <c r="C895" s="101"/>
      <c r="D895" s="101"/>
      <c r="E895" s="101"/>
      <c r="F895" s="101"/>
      <c r="G895" s="101"/>
      <c r="H895" s="101"/>
      <c r="I895" s="101"/>
      <c r="J895" s="101"/>
      <c r="S895" s="101"/>
      <c r="T895" s="241"/>
      <c r="U895" s="241"/>
      <c r="V895" s="241"/>
      <c r="W895" s="241"/>
      <c r="X895" s="241"/>
      <c r="Y895" s="241"/>
      <c r="Z895" s="252"/>
    </row>
    <row r="896" spans="3:26" ht="16.5">
      <c r="C896" s="101"/>
      <c r="D896" s="101"/>
      <c r="E896" s="101"/>
      <c r="F896" s="101"/>
      <c r="G896" s="101"/>
      <c r="H896" s="101"/>
      <c r="I896" s="101"/>
      <c r="J896" s="101"/>
      <c r="S896" s="101"/>
      <c r="T896" s="241"/>
      <c r="U896" s="241"/>
      <c r="V896" s="241"/>
      <c r="W896" s="241"/>
      <c r="X896" s="241"/>
      <c r="Y896" s="241"/>
      <c r="Z896" s="252"/>
    </row>
    <row r="897" spans="3:26" ht="16.5">
      <c r="C897" s="101"/>
      <c r="D897" s="101"/>
      <c r="E897" s="101"/>
      <c r="F897" s="101"/>
      <c r="G897" s="101"/>
      <c r="H897" s="101"/>
      <c r="I897" s="101"/>
      <c r="J897" s="101"/>
      <c r="S897" s="101"/>
      <c r="T897" s="241"/>
      <c r="U897" s="241"/>
      <c r="V897" s="241"/>
      <c r="W897" s="241"/>
      <c r="X897" s="241"/>
      <c r="Y897" s="241"/>
      <c r="Z897" s="252"/>
    </row>
    <row r="898" spans="3:26" ht="16.5">
      <c r="C898" s="101"/>
      <c r="D898" s="101"/>
      <c r="E898" s="101"/>
      <c r="F898" s="101"/>
      <c r="G898" s="101"/>
      <c r="H898" s="101"/>
      <c r="I898" s="101"/>
      <c r="J898" s="101"/>
      <c r="S898" s="101"/>
      <c r="T898" s="241"/>
      <c r="U898" s="241"/>
      <c r="V898" s="241"/>
      <c r="W898" s="241"/>
      <c r="X898" s="241"/>
      <c r="Y898" s="241"/>
      <c r="Z898" s="252"/>
    </row>
    <row r="899" spans="3:26" ht="16.5">
      <c r="C899" s="101"/>
      <c r="D899" s="101"/>
      <c r="E899" s="101"/>
      <c r="F899" s="101"/>
      <c r="G899" s="101"/>
      <c r="H899" s="101"/>
      <c r="I899" s="101"/>
      <c r="J899" s="101"/>
      <c r="S899" s="101"/>
      <c r="T899" s="241"/>
      <c r="U899" s="241"/>
      <c r="V899" s="241"/>
      <c r="W899" s="241"/>
      <c r="X899" s="241"/>
      <c r="Y899" s="241"/>
      <c r="Z899" s="252"/>
    </row>
    <row r="900" spans="3:26" ht="16.5">
      <c r="C900" s="101"/>
      <c r="D900" s="101"/>
      <c r="E900" s="101"/>
      <c r="F900" s="101"/>
      <c r="G900" s="101"/>
      <c r="H900" s="101"/>
      <c r="I900" s="101"/>
      <c r="J900" s="101"/>
      <c r="S900" s="101"/>
      <c r="T900" s="241"/>
      <c r="U900" s="241"/>
      <c r="V900" s="241"/>
      <c r="W900" s="241"/>
      <c r="X900" s="241"/>
      <c r="Y900" s="241"/>
      <c r="Z900" s="252"/>
    </row>
    <row r="901" spans="3:26" ht="16.5">
      <c r="C901" s="101"/>
      <c r="D901" s="101"/>
      <c r="E901" s="101"/>
      <c r="F901" s="101"/>
      <c r="G901" s="101"/>
      <c r="H901" s="101"/>
      <c r="I901" s="101"/>
      <c r="J901" s="101"/>
      <c r="S901" s="101"/>
      <c r="T901" s="241"/>
      <c r="U901" s="241"/>
      <c r="V901" s="241"/>
      <c r="W901" s="241"/>
      <c r="X901" s="241"/>
      <c r="Y901" s="241"/>
      <c r="Z901" s="252"/>
    </row>
    <row r="902" spans="3:26" ht="16.5">
      <c r="C902" s="101"/>
      <c r="D902" s="101"/>
      <c r="E902" s="101"/>
      <c r="F902" s="101"/>
      <c r="G902" s="101"/>
      <c r="H902" s="101"/>
      <c r="I902" s="101"/>
      <c r="J902" s="101"/>
      <c r="S902" s="101"/>
      <c r="T902" s="241"/>
      <c r="U902" s="241"/>
      <c r="V902" s="241"/>
      <c r="W902" s="241"/>
      <c r="X902" s="241"/>
      <c r="Y902" s="241"/>
      <c r="Z902" s="252"/>
    </row>
    <row r="903" spans="3:26" ht="16.5">
      <c r="C903" s="101"/>
      <c r="D903" s="101"/>
      <c r="E903" s="101"/>
      <c r="F903" s="101"/>
      <c r="G903" s="101"/>
      <c r="H903" s="101"/>
      <c r="I903" s="101"/>
      <c r="J903" s="101"/>
      <c r="S903" s="101"/>
      <c r="T903" s="241"/>
      <c r="U903" s="241"/>
      <c r="V903" s="241"/>
      <c r="W903" s="241"/>
      <c r="X903" s="241"/>
      <c r="Y903" s="241"/>
      <c r="Z903" s="252"/>
    </row>
    <row r="904" spans="3:26" ht="16.5">
      <c r="C904" s="101"/>
      <c r="D904" s="101"/>
      <c r="E904" s="101"/>
      <c r="F904" s="101"/>
      <c r="G904" s="101"/>
      <c r="H904" s="101"/>
      <c r="I904" s="101"/>
      <c r="J904" s="101"/>
      <c r="S904" s="101"/>
      <c r="T904" s="241"/>
      <c r="U904" s="241"/>
      <c r="V904" s="241"/>
      <c r="W904" s="241"/>
      <c r="X904" s="241"/>
      <c r="Y904" s="241"/>
      <c r="Z904" s="252"/>
    </row>
    <row r="905" spans="3:26" ht="16.5">
      <c r="C905" s="101"/>
      <c r="D905" s="101"/>
      <c r="E905" s="101"/>
      <c r="F905" s="101"/>
      <c r="G905" s="101"/>
      <c r="H905" s="101"/>
      <c r="I905" s="101"/>
      <c r="J905" s="101"/>
      <c r="S905" s="101"/>
      <c r="T905" s="241"/>
      <c r="U905" s="241"/>
      <c r="V905" s="241"/>
      <c r="W905" s="241"/>
      <c r="X905" s="241"/>
      <c r="Y905" s="241"/>
      <c r="Z905" s="252"/>
    </row>
    <row r="906" spans="3:26" ht="16.5">
      <c r="C906" s="101"/>
      <c r="D906" s="101"/>
      <c r="E906" s="101"/>
      <c r="F906" s="101"/>
      <c r="G906" s="101"/>
      <c r="H906" s="101"/>
      <c r="I906" s="101"/>
      <c r="J906" s="101"/>
      <c r="S906" s="101"/>
      <c r="T906" s="241"/>
      <c r="U906" s="241"/>
      <c r="V906" s="241"/>
      <c r="W906" s="241"/>
      <c r="X906" s="241"/>
      <c r="Y906" s="241"/>
      <c r="Z906" s="252"/>
    </row>
    <row r="907" spans="3:26" ht="16.5">
      <c r="C907" s="101"/>
      <c r="D907" s="101"/>
      <c r="E907" s="101"/>
      <c r="F907" s="101"/>
      <c r="G907" s="101"/>
      <c r="H907" s="101"/>
      <c r="I907" s="101"/>
      <c r="J907" s="101"/>
      <c r="S907" s="101"/>
      <c r="T907" s="241"/>
      <c r="U907" s="241"/>
      <c r="V907" s="241"/>
      <c r="W907" s="241"/>
      <c r="X907" s="241"/>
      <c r="Y907" s="241"/>
      <c r="Z907" s="252"/>
    </row>
    <row r="908" spans="3:26" ht="16.5">
      <c r="C908" s="101"/>
      <c r="D908" s="101"/>
      <c r="E908" s="101"/>
      <c r="F908" s="101"/>
      <c r="G908" s="101"/>
      <c r="H908" s="101"/>
      <c r="I908" s="101"/>
      <c r="J908" s="101"/>
      <c r="S908" s="101"/>
      <c r="T908" s="241"/>
      <c r="U908" s="241"/>
      <c r="V908" s="241"/>
      <c r="W908" s="241"/>
      <c r="X908" s="241"/>
      <c r="Y908" s="241"/>
      <c r="Z908" s="252"/>
    </row>
    <row r="909" spans="3:26" ht="16.5">
      <c r="C909" s="101"/>
      <c r="D909" s="101"/>
      <c r="E909" s="101"/>
      <c r="F909" s="101"/>
      <c r="G909" s="101"/>
      <c r="H909" s="101"/>
      <c r="I909" s="101"/>
      <c r="J909" s="101"/>
      <c r="S909" s="101"/>
      <c r="T909" s="241"/>
      <c r="U909" s="241"/>
      <c r="V909" s="241"/>
      <c r="W909" s="241"/>
      <c r="X909" s="241"/>
      <c r="Y909" s="241"/>
      <c r="Z909" s="252"/>
    </row>
    <row r="910" spans="3:26" ht="16.5">
      <c r="C910" s="101"/>
      <c r="D910" s="101"/>
      <c r="E910" s="101"/>
      <c r="F910" s="101"/>
      <c r="G910" s="101"/>
      <c r="H910" s="101"/>
      <c r="I910" s="101"/>
      <c r="J910" s="101"/>
      <c r="S910" s="101"/>
      <c r="T910" s="241"/>
      <c r="U910" s="241"/>
      <c r="V910" s="241"/>
      <c r="W910" s="241"/>
      <c r="X910" s="241"/>
      <c r="Y910" s="241"/>
      <c r="Z910" s="252"/>
    </row>
    <row r="911" spans="3:26" ht="16.5">
      <c r="C911" s="101"/>
      <c r="D911" s="101"/>
      <c r="E911" s="101"/>
      <c r="F911" s="101"/>
      <c r="G911" s="101"/>
      <c r="H911" s="101"/>
      <c r="I911" s="101"/>
      <c r="J911" s="101"/>
      <c r="S911" s="101"/>
      <c r="T911" s="241"/>
      <c r="U911" s="241"/>
      <c r="V911" s="241"/>
      <c r="W911" s="241"/>
      <c r="X911" s="241"/>
      <c r="Y911" s="241"/>
      <c r="Z911" s="252"/>
    </row>
    <row r="912" spans="3:26" ht="16.5">
      <c r="C912" s="101"/>
      <c r="D912" s="101"/>
      <c r="E912" s="101"/>
      <c r="F912" s="101"/>
      <c r="G912" s="101"/>
      <c r="H912" s="101"/>
      <c r="I912" s="101"/>
      <c r="J912" s="101"/>
      <c r="S912" s="101"/>
      <c r="T912" s="241"/>
      <c r="U912" s="241"/>
      <c r="V912" s="241"/>
      <c r="W912" s="241"/>
      <c r="X912" s="241"/>
      <c r="Y912" s="241"/>
      <c r="Z912" s="252"/>
    </row>
    <row r="913" spans="3:26" ht="16.5">
      <c r="C913" s="101"/>
      <c r="D913" s="101"/>
      <c r="E913" s="101"/>
      <c r="F913" s="101"/>
      <c r="G913" s="101"/>
      <c r="H913" s="101"/>
      <c r="I913" s="101"/>
      <c r="J913" s="101"/>
      <c r="S913" s="101"/>
      <c r="T913" s="241"/>
      <c r="U913" s="241"/>
      <c r="V913" s="241"/>
      <c r="W913" s="241"/>
      <c r="X913" s="241"/>
      <c r="Y913" s="241"/>
      <c r="Z913" s="252"/>
    </row>
    <row r="914" spans="3:26" ht="16.5">
      <c r="C914" s="101"/>
      <c r="D914" s="101"/>
      <c r="E914" s="101"/>
      <c r="F914" s="101"/>
      <c r="G914" s="101"/>
      <c r="H914" s="101"/>
      <c r="I914" s="101"/>
      <c r="J914" s="101"/>
      <c r="S914" s="101"/>
      <c r="T914" s="241"/>
      <c r="U914" s="241"/>
      <c r="V914" s="241"/>
      <c r="W914" s="241"/>
      <c r="X914" s="241"/>
      <c r="Y914" s="241"/>
      <c r="Z914" s="252"/>
    </row>
    <row r="915" spans="3:26" ht="16.5">
      <c r="C915" s="101"/>
      <c r="D915" s="101"/>
      <c r="E915" s="101"/>
      <c r="F915" s="101"/>
      <c r="G915" s="101"/>
      <c r="H915" s="101"/>
      <c r="I915" s="101"/>
      <c r="J915" s="101"/>
      <c r="S915" s="101"/>
      <c r="T915" s="241"/>
      <c r="U915" s="241"/>
      <c r="V915" s="241"/>
      <c r="W915" s="241"/>
      <c r="X915" s="241"/>
      <c r="Y915" s="241"/>
      <c r="Z915" s="252"/>
    </row>
    <row r="916" spans="3:26" ht="16.5">
      <c r="C916" s="101"/>
      <c r="D916" s="101"/>
      <c r="E916" s="101"/>
      <c r="F916" s="101"/>
      <c r="G916" s="101"/>
      <c r="H916" s="101"/>
      <c r="I916" s="101"/>
      <c r="J916" s="101"/>
      <c r="S916" s="101"/>
      <c r="T916" s="241"/>
      <c r="U916" s="241"/>
      <c r="V916" s="241"/>
      <c r="W916" s="241"/>
      <c r="X916" s="241"/>
      <c r="Y916" s="241"/>
      <c r="Z916" s="252"/>
    </row>
    <row r="917" spans="3:26" ht="16.5">
      <c r="C917" s="101"/>
      <c r="D917" s="101"/>
      <c r="E917" s="101"/>
      <c r="F917" s="101"/>
      <c r="G917" s="101"/>
      <c r="H917" s="101"/>
      <c r="I917" s="101"/>
      <c r="J917" s="101"/>
      <c r="S917" s="101"/>
      <c r="T917" s="241"/>
      <c r="U917" s="241"/>
      <c r="V917" s="241"/>
      <c r="W917" s="241"/>
      <c r="X917" s="241"/>
      <c r="Y917" s="241"/>
      <c r="Z917" s="252"/>
    </row>
    <row r="918" spans="3:26" ht="16.5">
      <c r="C918" s="101"/>
      <c r="D918" s="101"/>
      <c r="E918" s="101"/>
      <c r="F918" s="101"/>
      <c r="G918" s="101"/>
      <c r="H918" s="101"/>
      <c r="I918" s="101"/>
      <c r="J918" s="101"/>
      <c r="S918" s="101"/>
      <c r="T918" s="241"/>
      <c r="U918" s="241"/>
      <c r="V918" s="241"/>
      <c r="W918" s="241"/>
      <c r="X918" s="241"/>
      <c r="Y918" s="241"/>
      <c r="Z918" s="252"/>
    </row>
    <row r="919" spans="3:26" ht="16.5">
      <c r="C919" s="101"/>
      <c r="D919" s="101"/>
      <c r="E919" s="101"/>
      <c r="F919" s="101"/>
      <c r="G919" s="101"/>
      <c r="H919" s="101"/>
      <c r="I919" s="101"/>
      <c r="J919" s="101"/>
      <c r="S919" s="101"/>
      <c r="T919" s="241"/>
      <c r="U919" s="241"/>
      <c r="V919" s="241"/>
      <c r="W919" s="241"/>
      <c r="X919" s="241"/>
      <c r="Y919" s="241"/>
      <c r="Z919" s="252"/>
    </row>
    <row r="920" spans="3:26" ht="16.5">
      <c r="C920" s="101"/>
      <c r="D920" s="101"/>
      <c r="E920" s="101"/>
      <c r="F920" s="101"/>
      <c r="G920" s="101"/>
      <c r="H920" s="101"/>
      <c r="I920" s="101"/>
      <c r="J920" s="101"/>
      <c r="S920" s="101"/>
      <c r="T920" s="241"/>
      <c r="U920" s="241"/>
      <c r="V920" s="241"/>
      <c r="W920" s="241"/>
      <c r="X920" s="241"/>
      <c r="Y920" s="241"/>
      <c r="Z920" s="252"/>
    </row>
    <row r="921" spans="3:26" ht="16.5">
      <c r="C921" s="101"/>
      <c r="D921" s="101"/>
      <c r="E921" s="101"/>
      <c r="F921" s="101"/>
      <c r="G921" s="101"/>
      <c r="H921" s="101"/>
      <c r="I921" s="101"/>
      <c r="J921" s="101"/>
      <c r="S921" s="101"/>
      <c r="T921" s="241"/>
      <c r="U921" s="241"/>
      <c r="V921" s="241"/>
      <c r="W921" s="241"/>
      <c r="X921" s="241"/>
      <c r="Y921" s="241"/>
      <c r="Z921" s="252"/>
    </row>
    <row r="922" spans="3:26" ht="16.5">
      <c r="C922" s="101"/>
      <c r="D922" s="101"/>
      <c r="E922" s="101"/>
      <c r="F922" s="101"/>
      <c r="G922" s="101"/>
      <c r="H922" s="101"/>
      <c r="I922" s="101"/>
      <c r="J922" s="101"/>
      <c r="S922" s="101"/>
      <c r="T922" s="241"/>
      <c r="U922" s="241"/>
      <c r="V922" s="241"/>
      <c r="W922" s="241"/>
      <c r="X922" s="241"/>
      <c r="Y922" s="241"/>
      <c r="Z922" s="252"/>
    </row>
    <row r="923" spans="3:26" ht="16.5">
      <c r="C923" s="101"/>
      <c r="D923" s="101"/>
      <c r="E923" s="101"/>
      <c r="F923" s="101"/>
      <c r="G923" s="101"/>
      <c r="H923" s="101"/>
      <c r="I923" s="101"/>
      <c r="J923" s="101"/>
      <c r="S923" s="101"/>
      <c r="T923" s="241"/>
      <c r="U923" s="241"/>
      <c r="V923" s="241"/>
      <c r="W923" s="241"/>
      <c r="X923" s="241"/>
      <c r="Y923" s="241"/>
      <c r="Z923" s="252"/>
    </row>
    <row r="924" spans="3:26" ht="16.5">
      <c r="C924" s="101"/>
      <c r="D924" s="101"/>
      <c r="E924" s="101"/>
      <c r="F924" s="101"/>
      <c r="G924" s="101"/>
      <c r="H924" s="101"/>
      <c r="I924" s="101"/>
      <c r="J924" s="101"/>
      <c r="S924" s="101"/>
      <c r="T924" s="241"/>
      <c r="U924" s="241"/>
      <c r="V924" s="241"/>
      <c r="W924" s="241"/>
      <c r="X924" s="241"/>
      <c r="Y924" s="241"/>
      <c r="Z924" s="252"/>
    </row>
    <row r="925" spans="3:26" ht="16.5">
      <c r="C925" s="101"/>
      <c r="D925" s="101"/>
      <c r="E925" s="101"/>
      <c r="F925" s="101"/>
      <c r="G925" s="101"/>
      <c r="H925" s="101"/>
      <c r="I925" s="101"/>
      <c r="J925" s="101"/>
      <c r="S925" s="101"/>
      <c r="T925" s="241"/>
      <c r="U925" s="241"/>
      <c r="V925" s="241"/>
      <c r="W925" s="241"/>
      <c r="X925" s="241"/>
      <c r="Y925" s="241"/>
      <c r="Z925" s="252"/>
    </row>
    <row r="926" spans="3:26" ht="16.5">
      <c r="C926" s="101"/>
      <c r="D926" s="101"/>
      <c r="E926" s="101"/>
      <c r="F926" s="101"/>
      <c r="G926" s="101"/>
      <c r="H926" s="101"/>
      <c r="I926" s="101"/>
      <c r="J926" s="101"/>
      <c r="S926" s="101"/>
      <c r="T926" s="241"/>
      <c r="U926" s="241"/>
      <c r="V926" s="241"/>
      <c r="W926" s="241"/>
      <c r="X926" s="241"/>
      <c r="Y926" s="241"/>
      <c r="Z926" s="252"/>
    </row>
    <row r="927" spans="3:26" ht="16.5">
      <c r="C927" s="101"/>
      <c r="D927" s="101"/>
      <c r="E927" s="101"/>
      <c r="F927" s="101"/>
      <c r="G927" s="101"/>
      <c r="H927" s="101"/>
      <c r="I927" s="101"/>
      <c r="J927" s="101"/>
      <c r="S927" s="101"/>
      <c r="T927" s="241"/>
      <c r="U927" s="241"/>
      <c r="V927" s="241"/>
      <c r="W927" s="241"/>
      <c r="X927" s="241"/>
      <c r="Y927" s="241"/>
      <c r="Z927" s="252"/>
    </row>
    <row r="928" spans="3:26" ht="16.5">
      <c r="C928" s="101"/>
      <c r="D928" s="101"/>
      <c r="E928" s="101"/>
      <c r="F928" s="101"/>
      <c r="G928" s="101"/>
      <c r="H928" s="101"/>
      <c r="I928" s="101"/>
      <c r="J928" s="101"/>
      <c r="S928" s="101"/>
      <c r="T928" s="241"/>
      <c r="U928" s="241"/>
      <c r="V928" s="241"/>
      <c r="W928" s="241"/>
      <c r="X928" s="241"/>
      <c r="Y928" s="241"/>
      <c r="Z928" s="252"/>
    </row>
    <row r="929" spans="3:26" ht="16.5">
      <c r="C929" s="101"/>
      <c r="D929" s="101"/>
      <c r="E929" s="101"/>
      <c r="F929" s="101"/>
      <c r="G929" s="101"/>
      <c r="H929" s="101"/>
      <c r="I929" s="101"/>
      <c r="J929" s="101"/>
      <c r="S929" s="101"/>
      <c r="T929" s="241"/>
      <c r="U929" s="241"/>
      <c r="V929" s="241"/>
      <c r="W929" s="241"/>
      <c r="X929" s="241"/>
      <c r="Y929" s="241"/>
      <c r="Z929" s="252"/>
    </row>
    <row r="930" spans="3:26" ht="16.5">
      <c r="C930" s="101"/>
      <c r="D930" s="101"/>
      <c r="E930" s="101"/>
      <c r="F930" s="101"/>
      <c r="G930" s="101"/>
      <c r="H930" s="101"/>
      <c r="I930" s="101"/>
      <c r="J930" s="101"/>
      <c r="S930" s="101"/>
      <c r="T930" s="241"/>
      <c r="U930" s="241"/>
      <c r="V930" s="241"/>
      <c r="W930" s="241"/>
      <c r="X930" s="241"/>
      <c r="Y930" s="241"/>
      <c r="Z930" s="252"/>
    </row>
    <row r="931" spans="3:26" ht="16.5">
      <c r="C931" s="101"/>
      <c r="D931" s="101"/>
      <c r="E931" s="101"/>
      <c r="F931" s="101"/>
      <c r="G931" s="101"/>
      <c r="H931" s="101"/>
      <c r="I931" s="101"/>
      <c r="J931" s="101"/>
      <c r="S931" s="101"/>
      <c r="T931" s="241"/>
      <c r="U931" s="241"/>
      <c r="V931" s="241"/>
      <c r="W931" s="241"/>
      <c r="X931" s="241"/>
      <c r="Y931" s="241"/>
      <c r="Z931" s="252"/>
    </row>
    <row r="932" spans="3:26" ht="16.5">
      <c r="C932" s="101"/>
      <c r="D932" s="101"/>
      <c r="E932" s="101"/>
      <c r="F932" s="101"/>
      <c r="G932" s="101"/>
      <c r="H932" s="101"/>
      <c r="I932" s="101"/>
      <c r="J932" s="101"/>
      <c r="S932" s="101"/>
      <c r="T932" s="241"/>
      <c r="U932" s="241"/>
      <c r="V932" s="241"/>
      <c r="W932" s="241"/>
      <c r="X932" s="241"/>
      <c r="Y932" s="241"/>
      <c r="Z932" s="252"/>
    </row>
    <row r="933" spans="3:26" ht="16.5">
      <c r="C933" s="101"/>
      <c r="D933" s="101"/>
      <c r="E933" s="101"/>
      <c r="F933" s="101"/>
      <c r="G933" s="101"/>
      <c r="H933" s="101"/>
      <c r="I933" s="101"/>
      <c r="J933" s="101"/>
      <c r="S933" s="101"/>
      <c r="T933" s="241"/>
      <c r="U933" s="241"/>
      <c r="V933" s="241"/>
      <c r="W933" s="241"/>
      <c r="X933" s="241"/>
      <c r="Y933" s="241"/>
      <c r="Z933" s="252"/>
    </row>
    <row r="934" spans="3:26" ht="16.5">
      <c r="C934" s="101"/>
      <c r="D934" s="101"/>
      <c r="E934" s="101"/>
      <c r="F934" s="101"/>
      <c r="G934" s="101"/>
      <c r="H934" s="101"/>
      <c r="I934" s="101"/>
      <c r="J934" s="101"/>
      <c r="S934" s="101"/>
      <c r="T934" s="241"/>
      <c r="U934" s="241"/>
      <c r="V934" s="241"/>
      <c r="W934" s="241"/>
      <c r="X934" s="241"/>
      <c r="Y934" s="241"/>
      <c r="Z934" s="252"/>
    </row>
    <row r="935" spans="3:26" ht="16.5">
      <c r="C935" s="101"/>
      <c r="D935" s="101"/>
      <c r="E935" s="101"/>
      <c r="F935" s="101"/>
      <c r="G935" s="101"/>
      <c r="H935" s="101"/>
      <c r="I935" s="101"/>
      <c r="J935" s="101"/>
      <c r="S935" s="101"/>
      <c r="T935" s="241"/>
      <c r="U935" s="241"/>
      <c r="V935" s="241"/>
      <c r="W935" s="241"/>
      <c r="X935" s="241"/>
      <c r="Y935" s="241"/>
      <c r="Z935" s="252"/>
    </row>
    <row r="936" spans="3:26" ht="16.5">
      <c r="C936" s="101"/>
      <c r="D936" s="101"/>
      <c r="E936" s="101"/>
      <c r="F936" s="101"/>
      <c r="G936" s="101"/>
      <c r="H936" s="101"/>
      <c r="I936" s="101"/>
      <c r="J936" s="101"/>
      <c r="S936" s="101"/>
      <c r="T936" s="241"/>
      <c r="U936" s="241"/>
      <c r="V936" s="241"/>
      <c r="W936" s="241"/>
      <c r="X936" s="241"/>
      <c r="Y936" s="241"/>
      <c r="Z936" s="252"/>
    </row>
    <row r="937" spans="3:26" ht="16.5">
      <c r="C937" s="101"/>
      <c r="D937" s="101"/>
      <c r="E937" s="101"/>
      <c r="F937" s="101"/>
      <c r="G937" s="101"/>
      <c r="H937" s="101"/>
      <c r="I937" s="101"/>
      <c r="J937" s="101"/>
      <c r="S937" s="101"/>
      <c r="T937" s="241"/>
      <c r="U937" s="241"/>
      <c r="V937" s="241"/>
      <c r="W937" s="241"/>
      <c r="X937" s="241"/>
      <c r="Y937" s="241"/>
      <c r="Z937" s="252"/>
    </row>
    <row r="938" spans="3:26" ht="16.5">
      <c r="C938" s="101"/>
      <c r="D938" s="101"/>
      <c r="E938" s="101"/>
      <c r="F938" s="101"/>
      <c r="G938" s="101"/>
      <c r="H938" s="101"/>
      <c r="I938" s="101"/>
      <c r="J938" s="101"/>
      <c r="S938" s="101"/>
      <c r="T938" s="241"/>
      <c r="U938" s="241"/>
      <c r="V938" s="241"/>
      <c r="W938" s="241"/>
      <c r="X938" s="241"/>
      <c r="Y938" s="241"/>
      <c r="Z938" s="252"/>
    </row>
    <row r="939" spans="3:26" ht="16.5">
      <c r="C939" s="101"/>
      <c r="D939" s="101"/>
      <c r="E939" s="101"/>
      <c r="F939" s="101"/>
      <c r="G939" s="101"/>
      <c r="H939" s="101"/>
      <c r="I939" s="101"/>
      <c r="J939" s="101"/>
      <c r="S939" s="101"/>
      <c r="T939" s="241"/>
      <c r="U939" s="241"/>
      <c r="V939" s="241"/>
      <c r="W939" s="241"/>
      <c r="X939" s="241"/>
      <c r="Y939" s="241"/>
      <c r="Z939" s="252"/>
    </row>
    <row r="940" spans="3:26" ht="16.5">
      <c r="C940" s="101"/>
      <c r="D940" s="101"/>
      <c r="E940" s="101"/>
      <c r="F940" s="101"/>
      <c r="G940" s="101"/>
      <c r="H940" s="101"/>
      <c r="I940" s="101"/>
      <c r="J940" s="101"/>
      <c r="S940" s="101"/>
      <c r="T940" s="241"/>
      <c r="U940" s="241"/>
      <c r="V940" s="241"/>
      <c r="W940" s="241"/>
      <c r="X940" s="241"/>
      <c r="Y940" s="241"/>
      <c r="Z940" s="252"/>
    </row>
    <row r="941" spans="3:26" ht="16.5">
      <c r="C941" s="101"/>
      <c r="D941" s="101"/>
      <c r="E941" s="101"/>
      <c r="F941" s="101"/>
      <c r="G941" s="101"/>
      <c r="H941" s="101"/>
      <c r="I941" s="101"/>
      <c r="J941" s="101"/>
      <c r="S941" s="101"/>
      <c r="T941" s="241"/>
      <c r="U941" s="241"/>
      <c r="V941" s="241"/>
      <c r="W941" s="241"/>
      <c r="X941" s="241"/>
      <c r="Y941" s="241"/>
      <c r="Z941" s="252"/>
    </row>
    <row r="942" spans="3:26" ht="16.5">
      <c r="C942" s="101"/>
      <c r="D942" s="101"/>
      <c r="E942" s="101"/>
      <c r="F942" s="101"/>
      <c r="G942" s="101"/>
      <c r="H942" s="101"/>
      <c r="I942" s="101"/>
      <c r="J942" s="101"/>
      <c r="S942" s="101"/>
      <c r="T942" s="241"/>
      <c r="U942" s="241"/>
      <c r="V942" s="241"/>
      <c r="W942" s="241"/>
      <c r="X942" s="241"/>
      <c r="Y942" s="241"/>
      <c r="Z942" s="252"/>
    </row>
    <row r="943" spans="3:26" ht="16.5">
      <c r="C943" s="101"/>
      <c r="D943" s="101"/>
      <c r="E943" s="101"/>
      <c r="F943" s="101"/>
      <c r="G943" s="101"/>
      <c r="H943" s="101"/>
      <c r="I943" s="101"/>
      <c r="J943" s="101"/>
      <c r="S943" s="101"/>
      <c r="T943" s="241"/>
      <c r="U943" s="241"/>
      <c r="V943" s="241"/>
      <c r="W943" s="241"/>
      <c r="X943" s="241"/>
      <c r="Y943" s="241"/>
      <c r="Z943" s="252"/>
    </row>
    <row r="944" spans="3:26" ht="16.5">
      <c r="C944" s="101"/>
      <c r="D944" s="101"/>
      <c r="E944" s="101"/>
      <c r="F944" s="101"/>
      <c r="G944" s="101"/>
      <c r="H944" s="101"/>
      <c r="I944" s="101"/>
      <c r="J944" s="101"/>
      <c r="S944" s="101"/>
      <c r="T944" s="241"/>
      <c r="U944" s="241"/>
      <c r="V944" s="241"/>
      <c r="W944" s="241"/>
      <c r="X944" s="241"/>
      <c r="Y944" s="241"/>
      <c r="Z944" s="252"/>
    </row>
    <row r="945" spans="3:26" ht="16.5">
      <c r="C945" s="101"/>
      <c r="D945" s="101"/>
      <c r="E945" s="101"/>
      <c r="F945" s="101"/>
      <c r="G945" s="101"/>
      <c r="H945" s="101"/>
      <c r="I945" s="101"/>
      <c r="J945" s="101"/>
      <c r="S945" s="101"/>
      <c r="T945" s="241"/>
      <c r="U945" s="241"/>
      <c r="V945" s="241"/>
      <c r="W945" s="241"/>
      <c r="X945" s="241"/>
      <c r="Y945" s="241"/>
      <c r="Z945" s="252"/>
    </row>
    <row r="946" spans="3:26" ht="16.5">
      <c r="C946" s="101"/>
      <c r="D946" s="101"/>
      <c r="E946" s="101"/>
      <c r="F946" s="101"/>
      <c r="G946" s="101"/>
      <c r="H946" s="101"/>
      <c r="I946" s="101"/>
      <c r="J946" s="101"/>
      <c r="S946" s="101"/>
      <c r="T946" s="241"/>
      <c r="U946" s="241"/>
      <c r="V946" s="241"/>
      <c r="W946" s="241"/>
      <c r="X946" s="241"/>
      <c r="Y946" s="241"/>
      <c r="Z946" s="252"/>
    </row>
    <row r="947" spans="3:26" ht="16.5">
      <c r="C947" s="101"/>
      <c r="D947" s="101"/>
      <c r="E947" s="101"/>
      <c r="F947" s="101"/>
      <c r="G947" s="101"/>
      <c r="H947" s="101"/>
      <c r="I947" s="101"/>
      <c r="J947" s="101"/>
      <c r="S947" s="101"/>
      <c r="T947" s="241"/>
      <c r="U947" s="241"/>
      <c r="V947" s="241"/>
      <c r="W947" s="241"/>
      <c r="X947" s="241"/>
      <c r="Y947" s="241"/>
      <c r="Z947" s="252"/>
    </row>
    <row r="948" spans="3:26" ht="16.5">
      <c r="C948" s="101"/>
      <c r="D948" s="101"/>
      <c r="E948" s="101"/>
      <c r="F948" s="101"/>
      <c r="G948" s="101"/>
      <c r="H948" s="101"/>
      <c r="I948" s="101"/>
      <c r="J948" s="101"/>
      <c r="S948" s="101"/>
      <c r="T948" s="241"/>
      <c r="U948" s="241"/>
      <c r="V948" s="241"/>
      <c r="W948" s="241"/>
      <c r="X948" s="241"/>
      <c r="Y948" s="241"/>
      <c r="Z948" s="252"/>
    </row>
    <row r="949" spans="3:26" ht="16.5">
      <c r="C949" s="101"/>
      <c r="D949" s="101"/>
      <c r="E949" s="101"/>
      <c r="F949" s="101"/>
      <c r="G949" s="101"/>
      <c r="H949" s="101"/>
      <c r="I949" s="101"/>
      <c r="J949" s="101"/>
      <c r="S949" s="101"/>
      <c r="T949" s="241"/>
      <c r="U949" s="241"/>
      <c r="V949" s="241"/>
      <c r="W949" s="241"/>
      <c r="X949" s="241"/>
      <c r="Y949" s="241"/>
      <c r="Z949" s="252"/>
    </row>
    <row r="950" spans="3:26" ht="16.5">
      <c r="C950" s="101"/>
      <c r="D950" s="101"/>
      <c r="E950" s="101"/>
      <c r="F950" s="101"/>
      <c r="G950" s="101"/>
      <c r="H950" s="101"/>
      <c r="I950" s="101"/>
      <c r="J950" s="101"/>
      <c r="S950" s="101"/>
      <c r="T950" s="241"/>
      <c r="U950" s="241"/>
      <c r="V950" s="241"/>
      <c r="W950" s="241"/>
      <c r="X950" s="241"/>
      <c r="Y950" s="241"/>
      <c r="Z950" s="252"/>
    </row>
    <row r="951" spans="3:26" ht="16.5">
      <c r="C951" s="101"/>
      <c r="D951" s="101"/>
      <c r="E951" s="101"/>
      <c r="F951" s="101"/>
      <c r="G951" s="101"/>
      <c r="H951" s="101"/>
      <c r="I951" s="101"/>
      <c r="J951" s="101"/>
      <c r="S951" s="101"/>
      <c r="T951" s="241"/>
      <c r="U951" s="241"/>
      <c r="V951" s="241"/>
      <c r="W951" s="241"/>
      <c r="X951" s="241"/>
      <c r="Y951" s="241"/>
      <c r="Z951" s="252"/>
    </row>
    <row r="952" spans="3:26" ht="16.5">
      <c r="C952" s="101"/>
      <c r="D952" s="101"/>
      <c r="E952" s="101"/>
      <c r="F952" s="101"/>
      <c r="G952" s="101"/>
      <c r="H952" s="101"/>
      <c r="I952" s="101"/>
      <c r="J952" s="101"/>
      <c r="S952" s="101"/>
      <c r="T952" s="241"/>
      <c r="U952" s="241"/>
      <c r="V952" s="241"/>
      <c r="W952" s="241"/>
      <c r="X952" s="241"/>
      <c r="Y952" s="241"/>
      <c r="Z952" s="252"/>
    </row>
    <row r="953" spans="3:26" ht="16.5">
      <c r="C953" s="101"/>
      <c r="D953" s="101"/>
      <c r="E953" s="101"/>
      <c r="F953" s="101"/>
      <c r="G953" s="101"/>
      <c r="H953" s="101"/>
      <c r="I953" s="101"/>
      <c r="J953" s="101"/>
      <c r="S953" s="101"/>
      <c r="T953" s="241"/>
      <c r="U953" s="241"/>
      <c r="V953" s="241"/>
      <c r="W953" s="241"/>
      <c r="X953" s="241"/>
      <c r="Y953" s="241"/>
      <c r="Z953" s="252"/>
    </row>
    <row r="954" spans="3:26" ht="16.5">
      <c r="C954" s="101"/>
      <c r="D954" s="101"/>
      <c r="E954" s="101"/>
      <c r="F954" s="101"/>
      <c r="G954" s="101"/>
      <c r="H954" s="101"/>
      <c r="I954" s="101"/>
      <c r="J954" s="101"/>
      <c r="S954" s="101"/>
      <c r="T954" s="241"/>
      <c r="U954" s="241"/>
      <c r="V954" s="241"/>
      <c r="W954" s="241"/>
      <c r="X954" s="241"/>
      <c r="Y954" s="241"/>
      <c r="Z954" s="252"/>
    </row>
    <row r="955" spans="3:26" ht="16.5">
      <c r="C955" s="101"/>
      <c r="D955" s="101"/>
      <c r="E955" s="101"/>
      <c r="F955" s="101"/>
      <c r="G955" s="101"/>
      <c r="H955" s="101"/>
      <c r="I955" s="101"/>
      <c r="J955" s="101"/>
      <c r="S955" s="101"/>
      <c r="T955" s="241"/>
      <c r="U955" s="241"/>
      <c r="V955" s="241"/>
      <c r="W955" s="241"/>
      <c r="X955" s="241"/>
      <c r="Y955" s="241"/>
      <c r="Z955" s="252"/>
    </row>
    <row r="956" spans="3:26" ht="16.5">
      <c r="C956" s="101"/>
      <c r="D956" s="101"/>
      <c r="E956" s="101"/>
      <c r="F956" s="101"/>
      <c r="G956" s="101"/>
      <c r="H956" s="101"/>
      <c r="I956" s="101"/>
      <c r="J956" s="101"/>
      <c r="S956" s="101"/>
      <c r="T956" s="241"/>
      <c r="U956" s="241"/>
      <c r="V956" s="241"/>
      <c r="W956" s="241"/>
      <c r="X956" s="241"/>
      <c r="Y956" s="241"/>
      <c r="Z956" s="252"/>
    </row>
    <row r="957" spans="3:26" ht="16.5">
      <c r="C957" s="101"/>
      <c r="D957" s="101"/>
      <c r="E957" s="101"/>
      <c r="F957" s="101"/>
      <c r="G957" s="101"/>
      <c r="H957" s="101"/>
      <c r="I957" s="101"/>
      <c r="J957" s="101"/>
      <c r="S957" s="101"/>
      <c r="T957" s="241"/>
      <c r="U957" s="241"/>
      <c r="V957" s="241"/>
      <c r="W957" s="241"/>
      <c r="X957" s="241"/>
      <c r="Y957" s="241"/>
      <c r="Z957" s="252"/>
    </row>
    <row r="958" spans="3:26" ht="16.5">
      <c r="C958" s="101"/>
      <c r="D958" s="101"/>
      <c r="E958" s="101"/>
      <c r="F958" s="101"/>
      <c r="G958" s="101"/>
      <c r="H958" s="101"/>
      <c r="I958" s="101"/>
      <c r="J958" s="101"/>
      <c r="S958" s="101"/>
      <c r="T958" s="241"/>
      <c r="U958" s="241"/>
      <c r="V958" s="241"/>
      <c r="W958" s="241"/>
      <c r="X958" s="241"/>
      <c r="Y958" s="241"/>
      <c r="Z958" s="252"/>
    </row>
    <row r="959" spans="3:26" ht="16.5">
      <c r="C959" s="101"/>
      <c r="D959" s="101"/>
      <c r="E959" s="101"/>
      <c r="F959" s="101"/>
      <c r="G959" s="101"/>
      <c r="H959" s="101"/>
      <c r="I959" s="101"/>
      <c r="J959" s="101"/>
      <c r="S959" s="101"/>
      <c r="T959" s="241"/>
      <c r="U959" s="241"/>
      <c r="V959" s="241"/>
      <c r="W959" s="241"/>
      <c r="X959" s="241"/>
      <c r="Y959" s="241"/>
      <c r="Z959" s="252"/>
    </row>
    <row r="960" spans="3:26" ht="16.5">
      <c r="C960" s="101"/>
      <c r="D960" s="101"/>
      <c r="E960" s="101"/>
      <c r="F960" s="101"/>
      <c r="G960" s="101"/>
      <c r="H960" s="101"/>
      <c r="I960" s="101"/>
      <c r="J960" s="101"/>
      <c r="S960" s="101"/>
      <c r="T960" s="241"/>
      <c r="U960" s="241"/>
      <c r="V960" s="241"/>
      <c r="W960" s="241"/>
      <c r="X960" s="241"/>
      <c r="Y960" s="241"/>
      <c r="Z960" s="252"/>
    </row>
    <row r="961" spans="3:26" ht="16.5">
      <c r="C961" s="101"/>
      <c r="D961" s="101"/>
      <c r="E961" s="101"/>
      <c r="F961" s="101"/>
      <c r="G961" s="101"/>
      <c r="H961" s="101"/>
      <c r="I961" s="101"/>
      <c r="J961" s="101"/>
      <c r="S961" s="101"/>
      <c r="T961" s="241"/>
      <c r="U961" s="241"/>
      <c r="V961" s="241"/>
      <c r="W961" s="241"/>
      <c r="X961" s="241"/>
      <c r="Y961" s="241"/>
      <c r="Z961" s="252"/>
    </row>
    <row r="962" spans="3:26" ht="16.5">
      <c r="C962" s="101"/>
      <c r="D962" s="101"/>
      <c r="E962" s="101"/>
      <c r="F962" s="101"/>
      <c r="G962" s="101"/>
      <c r="H962" s="101"/>
      <c r="I962" s="101"/>
      <c r="J962" s="101"/>
      <c r="S962" s="101"/>
      <c r="T962" s="241"/>
      <c r="U962" s="241"/>
      <c r="V962" s="241"/>
      <c r="W962" s="241"/>
      <c r="X962" s="241"/>
      <c r="Y962" s="241"/>
      <c r="Z962" s="252"/>
    </row>
    <row r="963" spans="3:26" ht="16.5">
      <c r="C963" s="101"/>
      <c r="D963" s="101"/>
      <c r="E963" s="101"/>
      <c r="F963" s="101"/>
      <c r="G963" s="101"/>
      <c r="H963" s="101"/>
      <c r="I963" s="101"/>
      <c r="J963" s="101"/>
      <c r="S963" s="101"/>
      <c r="T963" s="241"/>
      <c r="U963" s="241"/>
      <c r="V963" s="241"/>
      <c r="W963" s="241"/>
      <c r="X963" s="241"/>
      <c r="Y963" s="241"/>
      <c r="Z963" s="252"/>
    </row>
    <row r="964" spans="3:26" ht="16.5">
      <c r="C964" s="101"/>
      <c r="D964" s="101"/>
      <c r="E964" s="101"/>
      <c r="F964" s="101"/>
      <c r="G964" s="101"/>
      <c r="H964" s="101"/>
      <c r="I964" s="101"/>
      <c r="J964" s="101"/>
      <c r="S964" s="101"/>
      <c r="T964" s="241"/>
      <c r="U964" s="241"/>
      <c r="V964" s="241"/>
      <c r="W964" s="241"/>
      <c r="X964" s="241"/>
      <c r="Y964" s="241"/>
      <c r="Z964" s="252"/>
    </row>
    <row r="965" spans="3:26" ht="16.5">
      <c r="C965" s="101"/>
      <c r="D965" s="101"/>
      <c r="E965" s="101"/>
      <c r="F965" s="101"/>
      <c r="G965" s="101"/>
      <c r="H965" s="101"/>
      <c r="I965" s="101"/>
      <c r="J965" s="101"/>
      <c r="S965" s="101"/>
      <c r="T965" s="241"/>
      <c r="U965" s="241"/>
      <c r="V965" s="241"/>
      <c r="W965" s="241"/>
      <c r="X965" s="241"/>
      <c r="Y965" s="241"/>
      <c r="Z965" s="252"/>
    </row>
    <row r="966" spans="3:26" ht="16.5">
      <c r="C966" s="101"/>
      <c r="D966" s="101"/>
      <c r="E966" s="101"/>
      <c r="F966" s="101"/>
      <c r="G966" s="101"/>
      <c r="H966" s="101"/>
      <c r="I966" s="101"/>
      <c r="J966" s="101"/>
      <c r="S966" s="101"/>
      <c r="T966" s="241"/>
      <c r="U966" s="241"/>
      <c r="V966" s="241"/>
      <c r="W966" s="241"/>
      <c r="X966" s="241"/>
      <c r="Y966" s="241"/>
      <c r="Z966" s="252"/>
    </row>
    <row r="967" spans="3:26" ht="16.5">
      <c r="C967" s="101"/>
      <c r="D967" s="101"/>
      <c r="E967" s="101"/>
      <c r="F967" s="101"/>
      <c r="G967" s="101"/>
      <c r="H967" s="101"/>
      <c r="I967" s="101"/>
      <c r="J967" s="101"/>
      <c r="S967" s="101"/>
      <c r="T967" s="241"/>
      <c r="U967" s="241"/>
      <c r="V967" s="241"/>
      <c r="W967" s="241"/>
      <c r="X967" s="241"/>
      <c r="Y967" s="241"/>
      <c r="Z967" s="252"/>
    </row>
    <row r="968" spans="3:26" ht="16.5">
      <c r="C968" s="101"/>
      <c r="D968" s="101"/>
      <c r="E968" s="101"/>
      <c r="F968" s="101"/>
      <c r="G968" s="101"/>
      <c r="H968" s="101"/>
      <c r="I968" s="101"/>
      <c r="J968" s="101"/>
      <c r="S968" s="101"/>
      <c r="T968" s="241"/>
      <c r="U968" s="241"/>
      <c r="V968" s="241"/>
      <c r="W968" s="241"/>
      <c r="X968" s="241"/>
      <c r="Y968" s="241"/>
      <c r="Z968" s="252"/>
    </row>
    <row r="969" spans="3:26" ht="16.5">
      <c r="C969" s="101"/>
      <c r="D969" s="101"/>
      <c r="E969" s="101"/>
      <c r="F969" s="101"/>
      <c r="G969" s="101"/>
      <c r="H969" s="101"/>
      <c r="I969" s="101"/>
      <c r="J969" s="101"/>
      <c r="S969" s="101"/>
      <c r="T969" s="241"/>
      <c r="U969" s="241"/>
      <c r="V969" s="241"/>
      <c r="W969" s="241"/>
      <c r="X969" s="241"/>
      <c r="Y969" s="241"/>
      <c r="Z969" s="252"/>
    </row>
    <row r="970" spans="3:26" ht="16.5">
      <c r="C970" s="101"/>
      <c r="D970" s="101"/>
      <c r="E970" s="101"/>
      <c r="F970" s="101"/>
      <c r="G970" s="101"/>
      <c r="H970" s="101"/>
      <c r="I970" s="101"/>
      <c r="J970" s="101"/>
      <c r="S970" s="101"/>
      <c r="T970" s="241"/>
      <c r="U970" s="241"/>
      <c r="V970" s="241"/>
      <c r="W970" s="241"/>
      <c r="X970" s="241"/>
      <c r="Y970" s="241"/>
      <c r="Z970" s="252"/>
    </row>
    <row r="971" spans="3:26" ht="16.5">
      <c r="C971" s="101"/>
      <c r="D971" s="101"/>
      <c r="E971" s="101"/>
      <c r="F971" s="101"/>
      <c r="G971" s="101"/>
      <c r="H971" s="101"/>
      <c r="I971" s="101"/>
      <c r="J971" s="101"/>
      <c r="S971" s="101"/>
      <c r="T971" s="241"/>
      <c r="U971" s="241"/>
      <c r="V971" s="241"/>
      <c r="W971" s="241"/>
      <c r="X971" s="241"/>
      <c r="Y971" s="241"/>
      <c r="Z971" s="252"/>
    </row>
    <row r="972" spans="3:26" ht="16.5">
      <c r="C972" s="101"/>
      <c r="D972" s="101"/>
      <c r="E972" s="101"/>
      <c r="F972" s="101"/>
      <c r="G972" s="101"/>
      <c r="H972" s="101"/>
      <c r="I972" s="101"/>
      <c r="J972" s="101"/>
      <c r="S972" s="101"/>
      <c r="T972" s="241"/>
      <c r="U972" s="241"/>
      <c r="V972" s="241"/>
      <c r="W972" s="241"/>
      <c r="X972" s="241"/>
      <c r="Y972" s="241"/>
      <c r="Z972" s="252"/>
    </row>
    <row r="973" spans="3:26" ht="16.5">
      <c r="C973" s="101"/>
      <c r="D973" s="101"/>
      <c r="E973" s="101"/>
      <c r="F973" s="101"/>
      <c r="G973" s="101"/>
      <c r="H973" s="101"/>
      <c r="I973" s="101"/>
      <c r="J973" s="101"/>
      <c r="S973" s="101"/>
      <c r="T973" s="241"/>
      <c r="U973" s="241"/>
      <c r="V973" s="241"/>
      <c r="W973" s="241"/>
      <c r="X973" s="241"/>
      <c r="Y973" s="241"/>
      <c r="Z973" s="252"/>
    </row>
    <row r="974" spans="3:26" ht="16.5">
      <c r="C974" s="101"/>
      <c r="D974" s="101"/>
      <c r="E974" s="101"/>
      <c r="F974" s="101"/>
      <c r="G974" s="101"/>
      <c r="H974" s="101"/>
      <c r="I974" s="101"/>
      <c r="J974" s="101"/>
      <c r="S974" s="101"/>
      <c r="T974" s="241"/>
      <c r="U974" s="241"/>
      <c r="V974" s="241"/>
      <c r="W974" s="241"/>
      <c r="X974" s="241"/>
      <c r="Y974" s="241"/>
      <c r="Z974" s="252"/>
    </row>
    <row r="975" spans="3:26" ht="16.5">
      <c r="C975" s="101"/>
      <c r="D975" s="101"/>
      <c r="E975" s="101"/>
      <c r="F975" s="101"/>
      <c r="G975" s="101"/>
      <c r="H975" s="101"/>
      <c r="I975" s="101"/>
      <c r="J975" s="101"/>
      <c r="S975" s="101"/>
      <c r="T975" s="241"/>
      <c r="U975" s="241"/>
      <c r="V975" s="241"/>
      <c r="W975" s="241"/>
      <c r="X975" s="241"/>
      <c r="Y975" s="241"/>
      <c r="Z975" s="252"/>
    </row>
    <row r="976" spans="3:26" ht="16.5">
      <c r="C976" s="101"/>
      <c r="D976" s="101"/>
      <c r="E976" s="101"/>
      <c r="F976" s="101"/>
      <c r="G976" s="101"/>
      <c r="H976" s="101"/>
      <c r="I976" s="101"/>
      <c r="J976" s="101"/>
      <c r="S976" s="101"/>
      <c r="T976" s="241"/>
      <c r="U976" s="241"/>
      <c r="V976" s="241"/>
      <c r="W976" s="241"/>
      <c r="X976" s="241"/>
      <c r="Y976" s="241"/>
      <c r="Z976" s="252"/>
    </row>
    <row r="977" spans="3:26" ht="16.5">
      <c r="C977" s="101"/>
      <c r="D977" s="101"/>
      <c r="E977" s="101"/>
      <c r="F977" s="101"/>
      <c r="G977" s="101"/>
      <c r="H977" s="101"/>
      <c r="I977" s="101"/>
      <c r="J977" s="101"/>
      <c r="S977" s="101"/>
      <c r="T977" s="241"/>
      <c r="U977" s="241"/>
      <c r="V977" s="241"/>
      <c r="W977" s="241"/>
      <c r="X977" s="241"/>
      <c r="Y977" s="241"/>
      <c r="Z977" s="252"/>
    </row>
    <row r="978" spans="3:26" ht="16.5">
      <c r="C978" s="101"/>
      <c r="D978" s="101"/>
      <c r="E978" s="101"/>
      <c r="F978" s="101"/>
      <c r="G978" s="101"/>
      <c r="H978" s="101"/>
      <c r="I978" s="101"/>
      <c r="J978" s="101"/>
      <c r="S978" s="101"/>
      <c r="T978" s="241"/>
      <c r="U978" s="241"/>
      <c r="V978" s="241"/>
      <c r="W978" s="241"/>
      <c r="X978" s="241"/>
      <c r="Y978" s="241"/>
      <c r="Z978" s="252"/>
    </row>
    <row r="979" spans="3:26" ht="16.5">
      <c r="C979" s="101"/>
      <c r="D979" s="101"/>
      <c r="E979" s="101"/>
      <c r="F979" s="101"/>
      <c r="G979" s="101"/>
      <c r="H979" s="101"/>
      <c r="I979" s="101"/>
      <c r="J979" s="101"/>
      <c r="S979" s="101"/>
      <c r="T979" s="241"/>
      <c r="U979" s="241"/>
      <c r="V979" s="241"/>
      <c r="W979" s="241"/>
      <c r="X979" s="241"/>
      <c r="Y979" s="241"/>
      <c r="Z979" s="252"/>
    </row>
    <row r="980" spans="3:26" ht="16.5">
      <c r="C980" s="101"/>
      <c r="D980" s="101"/>
      <c r="E980" s="101"/>
      <c r="F980" s="101"/>
      <c r="G980" s="101"/>
      <c r="H980" s="101"/>
      <c r="I980" s="101"/>
      <c r="J980" s="101"/>
      <c r="S980" s="101"/>
      <c r="T980" s="241"/>
      <c r="U980" s="241"/>
      <c r="V980" s="241"/>
      <c r="W980" s="241"/>
      <c r="X980" s="241"/>
      <c r="Y980" s="241"/>
      <c r="Z980" s="252"/>
    </row>
    <row r="981" spans="3:26" ht="16.5">
      <c r="C981" s="101"/>
      <c r="D981" s="101"/>
      <c r="E981" s="101"/>
      <c r="F981" s="101"/>
      <c r="G981" s="101"/>
      <c r="H981" s="101"/>
      <c r="I981" s="101"/>
      <c r="J981" s="101"/>
      <c r="S981" s="101"/>
      <c r="T981" s="241"/>
      <c r="U981" s="241"/>
      <c r="V981" s="241"/>
      <c r="W981" s="241"/>
      <c r="X981" s="241"/>
      <c r="Y981" s="241"/>
      <c r="Z981" s="252"/>
    </row>
    <row r="982" spans="3:26" ht="16.5">
      <c r="C982" s="101"/>
      <c r="D982" s="101"/>
      <c r="E982" s="101"/>
      <c r="F982" s="101"/>
      <c r="G982" s="101"/>
      <c r="H982" s="101"/>
      <c r="I982" s="101"/>
      <c r="J982" s="101"/>
      <c r="S982" s="101"/>
      <c r="T982" s="241"/>
      <c r="U982" s="241"/>
      <c r="V982" s="241"/>
      <c r="W982" s="241"/>
      <c r="X982" s="241"/>
      <c r="Y982" s="241"/>
      <c r="Z982" s="252"/>
    </row>
    <row r="983" spans="3:26" ht="16.5">
      <c r="C983" s="101"/>
      <c r="D983" s="101"/>
      <c r="E983" s="101"/>
      <c r="F983" s="101"/>
      <c r="G983" s="101"/>
      <c r="H983" s="101"/>
      <c r="I983" s="101"/>
      <c r="J983" s="101"/>
      <c r="S983" s="101"/>
      <c r="T983" s="241"/>
      <c r="U983" s="241"/>
      <c r="V983" s="241"/>
      <c r="W983" s="241"/>
      <c r="X983" s="241"/>
      <c r="Y983" s="241"/>
      <c r="Z983" s="252"/>
    </row>
    <row r="984" spans="3:26" ht="16.5">
      <c r="C984" s="101"/>
      <c r="D984" s="101"/>
      <c r="E984" s="101"/>
      <c r="F984" s="101"/>
      <c r="G984" s="101"/>
      <c r="H984" s="101"/>
      <c r="I984" s="101"/>
      <c r="J984" s="101"/>
      <c r="S984" s="101"/>
      <c r="T984" s="241"/>
      <c r="U984" s="241"/>
      <c r="V984" s="241"/>
      <c r="W984" s="241"/>
      <c r="X984" s="241"/>
      <c r="Y984" s="241"/>
      <c r="Z984" s="252"/>
    </row>
    <row r="985" spans="3:26" ht="16.5">
      <c r="C985" s="101"/>
      <c r="D985" s="101"/>
      <c r="E985" s="101"/>
      <c r="F985" s="101"/>
      <c r="G985" s="101"/>
      <c r="H985" s="101"/>
      <c r="I985" s="101"/>
      <c r="J985" s="101"/>
      <c r="S985" s="101"/>
      <c r="T985" s="241"/>
      <c r="U985" s="241"/>
      <c r="V985" s="241"/>
      <c r="W985" s="241"/>
      <c r="X985" s="241"/>
      <c r="Y985" s="241"/>
      <c r="Z985" s="252"/>
    </row>
    <row r="986" spans="3:26" ht="16.5">
      <c r="C986" s="101"/>
      <c r="D986" s="101"/>
      <c r="E986" s="101"/>
      <c r="F986" s="101"/>
      <c r="G986" s="101"/>
      <c r="H986" s="101"/>
      <c r="I986" s="101"/>
      <c r="J986" s="101"/>
      <c r="S986" s="101"/>
      <c r="T986" s="241"/>
      <c r="U986" s="241"/>
      <c r="V986" s="241"/>
      <c r="W986" s="241"/>
      <c r="X986" s="241"/>
      <c r="Y986" s="241"/>
      <c r="Z986" s="252"/>
    </row>
    <row r="987" spans="3:26" ht="16.5">
      <c r="C987" s="101"/>
      <c r="D987" s="101"/>
      <c r="E987" s="101"/>
      <c r="F987" s="101"/>
      <c r="G987" s="101"/>
      <c r="H987" s="101"/>
      <c r="I987" s="101"/>
      <c r="J987" s="101"/>
      <c r="S987" s="101"/>
      <c r="T987" s="241"/>
      <c r="U987" s="241"/>
      <c r="V987" s="241"/>
      <c r="W987" s="241"/>
      <c r="X987" s="241"/>
      <c r="Y987" s="241"/>
      <c r="Z987" s="252"/>
    </row>
    <row r="988" spans="3:26" ht="16.5">
      <c r="C988" s="101"/>
      <c r="D988" s="101"/>
      <c r="E988" s="101"/>
      <c r="F988" s="101"/>
      <c r="G988" s="101"/>
      <c r="H988" s="101"/>
      <c r="I988" s="101"/>
      <c r="J988" s="101"/>
      <c r="S988" s="101"/>
      <c r="T988" s="241"/>
      <c r="U988" s="241"/>
      <c r="V988" s="241"/>
      <c r="W988" s="241"/>
      <c r="X988" s="241"/>
      <c r="Y988" s="241"/>
      <c r="Z988" s="252"/>
    </row>
    <row r="989" spans="3:26" ht="16.5">
      <c r="C989" s="101"/>
      <c r="D989" s="101"/>
      <c r="E989" s="101"/>
      <c r="F989" s="101"/>
      <c r="G989" s="101"/>
      <c r="H989" s="101"/>
      <c r="I989" s="101"/>
      <c r="J989" s="101"/>
      <c r="S989" s="101"/>
      <c r="T989" s="241"/>
      <c r="U989" s="241"/>
      <c r="V989" s="241"/>
      <c r="W989" s="241"/>
      <c r="X989" s="241"/>
      <c r="Y989" s="241"/>
      <c r="Z989" s="252"/>
    </row>
    <row r="990" spans="3:26" ht="16.5">
      <c r="C990" s="101"/>
      <c r="D990" s="101"/>
      <c r="E990" s="101"/>
      <c r="F990" s="101"/>
      <c r="G990" s="101"/>
      <c r="H990" s="101"/>
      <c r="I990" s="101"/>
      <c r="J990" s="101"/>
      <c r="S990" s="101"/>
      <c r="T990" s="241"/>
      <c r="U990" s="241"/>
      <c r="V990" s="241"/>
      <c r="W990" s="241"/>
      <c r="X990" s="241"/>
      <c r="Y990" s="241"/>
      <c r="Z990" s="252"/>
    </row>
    <row r="991" spans="3:26" ht="16.5">
      <c r="C991" s="101"/>
      <c r="D991" s="101"/>
      <c r="E991" s="101"/>
      <c r="F991" s="101"/>
      <c r="G991" s="101"/>
      <c r="H991" s="101"/>
      <c r="I991" s="101"/>
      <c r="J991" s="101"/>
      <c r="S991" s="101"/>
      <c r="T991" s="241"/>
      <c r="U991" s="241"/>
      <c r="V991" s="241"/>
      <c r="W991" s="241"/>
      <c r="X991" s="241"/>
      <c r="Y991" s="241"/>
      <c r="Z991" s="252"/>
    </row>
    <row r="992" spans="3:26" ht="16.5">
      <c r="C992" s="101"/>
      <c r="D992" s="101"/>
      <c r="E992" s="101"/>
      <c r="F992" s="101"/>
      <c r="G992" s="101"/>
      <c r="H992" s="101"/>
      <c r="I992" s="101"/>
      <c r="J992" s="101"/>
      <c r="S992" s="101"/>
      <c r="T992" s="241"/>
      <c r="U992" s="241"/>
      <c r="V992" s="241"/>
      <c r="W992" s="241"/>
      <c r="X992" s="241"/>
      <c r="Y992" s="241"/>
      <c r="Z992" s="252"/>
    </row>
    <row r="993" spans="3:26" ht="16.5">
      <c r="C993" s="101"/>
      <c r="D993" s="101"/>
      <c r="E993" s="101"/>
      <c r="F993" s="101"/>
      <c r="G993" s="101"/>
      <c r="H993" s="101"/>
      <c r="I993" s="101"/>
      <c r="J993" s="101"/>
      <c r="S993" s="101"/>
      <c r="T993" s="241"/>
      <c r="U993" s="241"/>
      <c r="V993" s="241"/>
      <c r="W993" s="241"/>
      <c r="X993" s="241"/>
      <c r="Y993" s="241"/>
      <c r="Z993" s="252"/>
    </row>
    <row r="994" spans="3:26" ht="16.5">
      <c r="C994" s="101"/>
      <c r="D994" s="101"/>
      <c r="E994" s="101"/>
      <c r="F994" s="101"/>
      <c r="G994" s="101"/>
      <c r="H994" s="101"/>
      <c r="I994" s="101"/>
      <c r="J994" s="101"/>
      <c r="S994" s="101"/>
      <c r="T994" s="241"/>
      <c r="U994" s="241"/>
      <c r="V994" s="241"/>
      <c r="W994" s="241"/>
      <c r="X994" s="241"/>
      <c r="Y994" s="241"/>
      <c r="Z994" s="252"/>
    </row>
    <row r="995" spans="3:26" ht="16.5">
      <c r="C995" s="101"/>
      <c r="D995" s="101"/>
      <c r="E995" s="101"/>
      <c r="F995" s="101"/>
      <c r="G995" s="101"/>
      <c r="H995" s="101"/>
      <c r="I995" s="101"/>
      <c r="J995" s="101"/>
      <c r="S995" s="101"/>
      <c r="T995" s="241"/>
      <c r="U995" s="241"/>
      <c r="V995" s="241"/>
      <c r="W995" s="241"/>
      <c r="X995" s="241"/>
      <c r="Y995" s="241"/>
      <c r="Z995" s="252"/>
    </row>
    <row r="996" spans="3:26" ht="16.5">
      <c r="C996" s="101"/>
      <c r="D996" s="101"/>
      <c r="E996" s="101"/>
      <c r="F996" s="101"/>
      <c r="G996" s="101"/>
      <c r="H996" s="101"/>
      <c r="I996" s="101"/>
      <c r="J996" s="101"/>
      <c r="S996" s="101"/>
      <c r="T996" s="241"/>
      <c r="U996" s="241"/>
      <c r="V996" s="241"/>
      <c r="W996" s="241"/>
      <c r="X996" s="241"/>
      <c r="Y996" s="241"/>
      <c r="Z996" s="252"/>
    </row>
    <row r="997" spans="3:26" ht="16.5">
      <c r="C997" s="101"/>
      <c r="D997" s="101"/>
      <c r="E997" s="101"/>
      <c r="F997" s="101"/>
      <c r="G997" s="101"/>
      <c r="H997" s="101"/>
      <c r="I997" s="101"/>
      <c r="J997" s="101"/>
      <c r="S997" s="101"/>
      <c r="T997" s="241"/>
      <c r="U997" s="241"/>
      <c r="V997" s="241"/>
      <c r="W997" s="241"/>
      <c r="X997" s="241"/>
      <c r="Y997" s="241"/>
      <c r="Z997" s="252"/>
    </row>
    <row r="998" spans="3:26" ht="16.5">
      <c r="C998" s="101"/>
      <c r="D998" s="101"/>
      <c r="E998" s="101"/>
      <c r="F998" s="101"/>
      <c r="G998" s="101"/>
      <c r="H998" s="101"/>
      <c r="I998" s="101"/>
      <c r="J998" s="101"/>
      <c r="S998" s="101"/>
      <c r="T998" s="241"/>
      <c r="U998" s="241"/>
      <c r="V998" s="241"/>
      <c r="W998" s="241"/>
      <c r="X998" s="241"/>
      <c r="Y998" s="241"/>
      <c r="Z998" s="252"/>
    </row>
    <row r="999" spans="3:26" ht="16.5">
      <c r="C999" s="101"/>
      <c r="D999" s="101"/>
      <c r="E999" s="101"/>
      <c r="F999" s="101"/>
      <c r="G999" s="101"/>
      <c r="H999" s="101"/>
      <c r="I999" s="101"/>
      <c r="J999" s="101"/>
      <c r="S999" s="101"/>
      <c r="T999" s="241"/>
      <c r="U999" s="241"/>
      <c r="V999" s="241"/>
      <c r="W999" s="241"/>
      <c r="X999" s="241"/>
      <c r="Y999" s="241"/>
      <c r="Z999" s="252"/>
    </row>
    <row r="1000" spans="3:26" ht="16.5">
      <c r="C1000" s="101"/>
      <c r="D1000" s="101"/>
      <c r="E1000" s="101"/>
      <c r="F1000" s="101"/>
      <c r="G1000" s="101"/>
      <c r="H1000" s="101"/>
      <c r="I1000" s="101"/>
      <c r="J1000" s="101"/>
      <c r="S1000" s="101"/>
      <c r="T1000" s="241"/>
      <c r="U1000" s="241"/>
      <c r="V1000" s="241"/>
      <c r="W1000" s="241"/>
      <c r="X1000" s="241"/>
      <c r="Y1000" s="241"/>
      <c r="Z1000" s="252"/>
    </row>
    <row r="1001" spans="3:26" ht="16.5">
      <c r="C1001" s="101"/>
      <c r="D1001" s="101"/>
      <c r="E1001" s="101"/>
      <c r="F1001" s="101"/>
      <c r="G1001" s="101"/>
      <c r="H1001" s="101"/>
      <c r="I1001" s="101"/>
      <c r="J1001" s="101"/>
      <c r="S1001" s="101"/>
      <c r="T1001" s="241"/>
      <c r="U1001" s="241"/>
      <c r="V1001" s="241"/>
      <c r="W1001" s="241"/>
      <c r="X1001" s="241"/>
      <c r="Y1001" s="241"/>
      <c r="Z1001" s="252"/>
    </row>
    <row r="1002" spans="3:26" ht="16.5">
      <c r="C1002" s="101"/>
      <c r="D1002" s="101"/>
      <c r="E1002" s="101"/>
      <c r="F1002" s="101"/>
      <c r="G1002" s="101"/>
      <c r="H1002" s="101"/>
      <c r="I1002" s="101"/>
      <c r="J1002" s="101"/>
      <c r="S1002" s="101"/>
      <c r="T1002" s="241"/>
      <c r="U1002" s="241"/>
      <c r="V1002" s="241"/>
      <c r="W1002" s="241"/>
      <c r="X1002" s="241"/>
      <c r="Y1002" s="241"/>
      <c r="Z1002" s="252"/>
    </row>
    <row r="1003" spans="3:26" ht="16.5">
      <c r="C1003" s="101"/>
      <c r="D1003" s="101"/>
      <c r="E1003" s="101"/>
      <c r="F1003" s="101"/>
      <c r="G1003" s="101"/>
      <c r="H1003" s="101"/>
      <c r="I1003" s="101"/>
      <c r="J1003" s="101"/>
      <c r="S1003" s="101"/>
      <c r="T1003" s="241"/>
      <c r="U1003" s="241"/>
      <c r="V1003" s="241"/>
      <c r="W1003" s="241"/>
      <c r="X1003" s="241"/>
      <c r="Y1003" s="241"/>
      <c r="Z1003" s="252"/>
    </row>
    <row r="1004" spans="3:26" ht="16.5">
      <c r="C1004" s="101"/>
      <c r="D1004" s="101"/>
      <c r="E1004" s="101"/>
      <c r="F1004" s="101"/>
      <c r="G1004" s="101"/>
      <c r="H1004" s="101"/>
      <c r="I1004" s="101"/>
      <c r="J1004" s="101"/>
      <c r="S1004" s="101"/>
      <c r="T1004" s="241"/>
      <c r="U1004" s="241"/>
      <c r="V1004" s="241"/>
      <c r="W1004" s="241"/>
      <c r="X1004" s="241"/>
      <c r="Y1004" s="241"/>
      <c r="Z1004" s="252"/>
    </row>
    <row r="1005" spans="3:26" ht="16.5">
      <c r="C1005" s="101"/>
      <c r="D1005" s="101"/>
      <c r="E1005" s="101"/>
      <c r="F1005" s="101"/>
      <c r="G1005" s="101"/>
      <c r="H1005" s="101"/>
      <c r="I1005" s="101"/>
      <c r="J1005" s="101"/>
      <c r="S1005" s="101"/>
      <c r="T1005" s="241"/>
      <c r="U1005" s="241"/>
      <c r="V1005" s="241"/>
      <c r="W1005" s="241"/>
      <c r="X1005" s="241"/>
      <c r="Y1005" s="241"/>
      <c r="Z1005" s="252"/>
    </row>
    <row r="1006" spans="3:26" ht="16.5">
      <c r="C1006" s="101"/>
      <c r="D1006" s="101"/>
      <c r="E1006" s="101"/>
      <c r="F1006" s="101"/>
      <c r="G1006" s="101"/>
      <c r="H1006" s="101"/>
      <c r="I1006" s="101"/>
      <c r="J1006" s="101"/>
      <c r="S1006" s="101"/>
      <c r="T1006" s="241"/>
      <c r="U1006" s="241"/>
      <c r="V1006" s="241"/>
      <c r="W1006" s="241"/>
      <c r="X1006" s="241"/>
      <c r="Y1006" s="241"/>
      <c r="Z1006" s="252"/>
    </row>
    <row r="1007" spans="3:26" ht="16.5">
      <c r="C1007" s="101"/>
      <c r="D1007" s="101"/>
      <c r="E1007" s="101"/>
      <c r="F1007" s="101"/>
      <c r="G1007" s="101"/>
      <c r="H1007" s="101"/>
      <c r="I1007" s="101"/>
      <c r="J1007" s="101"/>
      <c r="S1007" s="101"/>
      <c r="T1007" s="241"/>
      <c r="U1007" s="241"/>
      <c r="V1007" s="241"/>
      <c r="W1007" s="241"/>
      <c r="X1007" s="241"/>
      <c r="Y1007" s="241"/>
      <c r="Z1007" s="252"/>
    </row>
    <row r="1008" spans="3:26" ht="16.5">
      <c r="C1008" s="101"/>
      <c r="D1008" s="101"/>
      <c r="E1008" s="101"/>
      <c r="F1008" s="101"/>
      <c r="G1008" s="101"/>
      <c r="H1008" s="101"/>
      <c r="I1008" s="101"/>
      <c r="J1008" s="101"/>
      <c r="S1008" s="101"/>
      <c r="T1008" s="241"/>
      <c r="U1008" s="241"/>
      <c r="V1008" s="241"/>
      <c r="W1008" s="241"/>
      <c r="X1008" s="241"/>
      <c r="Y1008" s="241"/>
      <c r="Z1008" s="252"/>
    </row>
    <row r="1009" spans="3:26" ht="16.5">
      <c r="C1009" s="101"/>
      <c r="D1009" s="101"/>
      <c r="E1009" s="101"/>
      <c r="F1009" s="101"/>
      <c r="G1009" s="101"/>
      <c r="H1009" s="101"/>
      <c r="I1009" s="101"/>
      <c r="J1009" s="101"/>
      <c r="S1009" s="101"/>
      <c r="T1009" s="241"/>
      <c r="U1009" s="241"/>
      <c r="V1009" s="241"/>
      <c r="W1009" s="241"/>
      <c r="X1009" s="241"/>
      <c r="Y1009" s="241"/>
      <c r="Z1009" s="252"/>
    </row>
    <row r="1010" spans="3:26" ht="16.5">
      <c r="C1010" s="101"/>
      <c r="D1010" s="101"/>
      <c r="E1010" s="101"/>
      <c r="F1010" s="101"/>
      <c r="G1010" s="101"/>
      <c r="H1010" s="101"/>
      <c r="I1010" s="101"/>
      <c r="J1010" s="101"/>
      <c r="S1010" s="101"/>
      <c r="T1010" s="241"/>
      <c r="U1010" s="241"/>
      <c r="V1010" s="241"/>
      <c r="W1010" s="241"/>
      <c r="X1010" s="241"/>
      <c r="Y1010" s="241"/>
      <c r="Z1010" s="252"/>
    </row>
    <row r="1011" spans="3:26" ht="16.5">
      <c r="C1011" s="101"/>
      <c r="D1011" s="101"/>
      <c r="E1011" s="101"/>
      <c r="F1011" s="101"/>
      <c r="G1011" s="101"/>
      <c r="H1011" s="101"/>
      <c r="I1011" s="101"/>
      <c r="J1011" s="101"/>
      <c r="S1011" s="101"/>
      <c r="T1011" s="241"/>
      <c r="U1011" s="241"/>
      <c r="V1011" s="241"/>
      <c r="W1011" s="241"/>
      <c r="X1011" s="241"/>
      <c r="Y1011" s="241"/>
      <c r="Z1011" s="252"/>
    </row>
    <row r="1012" spans="3:26" ht="16.5">
      <c r="C1012" s="101"/>
      <c r="D1012" s="101"/>
      <c r="E1012" s="101"/>
      <c r="F1012" s="101"/>
      <c r="G1012" s="101"/>
      <c r="H1012" s="101"/>
      <c r="I1012" s="101"/>
      <c r="J1012" s="101"/>
      <c r="S1012" s="101"/>
      <c r="T1012" s="241"/>
      <c r="U1012" s="241"/>
      <c r="V1012" s="241"/>
      <c r="W1012" s="241"/>
      <c r="X1012" s="241"/>
      <c r="Y1012" s="241"/>
      <c r="Z1012" s="252"/>
    </row>
    <row r="1013" spans="3:26" ht="16.5">
      <c r="C1013" s="101"/>
      <c r="D1013" s="101"/>
      <c r="E1013" s="101"/>
      <c r="F1013" s="101"/>
      <c r="G1013" s="101"/>
      <c r="H1013" s="101"/>
      <c r="I1013" s="101"/>
      <c r="J1013" s="101"/>
      <c r="S1013" s="101"/>
      <c r="T1013" s="241"/>
      <c r="U1013" s="241"/>
      <c r="V1013" s="241"/>
      <c r="W1013" s="241"/>
      <c r="X1013" s="241"/>
      <c r="Y1013" s="241"/>
      <c r="Z1013" s="252"/>
    </row>
    <row r="1014" spans="3:26" ht="16.5">
      <c r="C1014" s="101"/>
      <c r="D1014" s="101"/>
      <c r="E1014" s="101"/>
      <c r="F1014" s="101"/>
      <c r="G1014" s="101"/>
      <c r="H1014" s="101"/>
      <c r="I1014" s="101"/>
      <c r="J1014" s="101"/>
      <c r="S1014" s="101"/>
      <c r="T1014" s="241"/>
      <c r="U1014" s="241"/>
      <c r="V1014" s="241"/>
      <c r="W1014" s="241"/>
      <c r="X1014" s="241"/>
      <c r="Y1014" s="241"/>
      <c r="Z1014" s="252"/>
    </row>
    <row r="1015" spans="3:26" ht="16.5">
      <c r="C1015" s="101"/>
      <c r="D1015" s="101"/>
      <c r="E1015" s="101"/>
      <c r="F1015" s="101"/>
      <c r="G1015" s="101"/>
      <c r="H1015" s="101"/>
      <c r="I1015" s="101"/>
      <c r="J1015" s="101"/>
      <c r="S1015" s="101"/>
      <c r="T1015" s="241"/>
      <c r="U1015" s="241"/>
      <c r="V1015" s="241"/>
      <c r="W1015" s="241"/>
      <c r="X1015" s="241"/>
      <c r="Y1015" s="241"/>
      <c r="Z1015" s="252"/>
    </row>
    <row r="1016" spans="3:26" ht="16.5">
      <c r="C1016" s="101"/>
      <c r="D1016" s="101"/>
      <c r="E1016" s="101"/>
      <c r="F1016" s="101"/>
      <c r="G1016" s="101"/>
      <c r="H1016" s="101"/>
      <c r="I1016" s="101"/>
      <c r="J1016" s="101"/>
      <c r="S1016" s="101"/>
      <c r="T1016" s="241"/>
      <c r="U1016" s="241"/>
      <c r="V1016" s="241"/>
      <c r="W1016" s="241"/>
      <c r="X1016" s="241"/>
      <c r="Y1016" s="241"/>
      <c r="Z1016" s="252"/>
    </row>
    <row r="1017" spans="3:26" ht="16.5">
      <c r="C1017" s="101"/>
      <c r="D1017" s="101"/>
      <c r="E1017" s="101"/>
      <c r="F1017" s="101"/>
      <c r="G1017" s="101"/>
      <c r="H1017" s="101"/>
      <c r="I1017" s="101"/>
      <c r="J1017" s="101"/>
      <c r="S1017" s="101"/>
      <c r="T1017" s="241"/>
      <c r="U1017" s="241"/>
      <c r="V1017" s="241"/>
      <c r="W1017" s="241"/>
      <c r="X1017" s="241"/>
      <c r="Y1017" s="241"/>
      <c r="Z1017" s="252"/>
    </row>
    <row r="1018" spans="3:26" ht="16.5">
      <c r="C1018" s="101"/>
      <c r="D1018" s="101"/>
      <c r="E1018" s="101"/>
      <c r="F1018" s="101"/>
      <c r="G1018" s="101"/>
      <c r="H1018" s="101"/>
      <c r="I1018" s="101"/>
      <c r="J1018" s="101"/>
      <c r="S1018" s="101"/>
      <c r="T1018" s="241"/>
      <c r="U1018" s="241"/>
      <c r="V1018" s="241"/>
      <c r="W1018" s="241"/>
      <c r="X1018" s="241"/>
      <c r="Y1018" s="241"/>
      <c r="Z1018" s="252"/>
    </row>
    <row r="1019" spans="3:26" ht="16.5">
      <c r="C1019" s="101"/>
      <c r="D1019" s="101"/>
      <c r="E1019" s="101"/>
      <c r="F1019" s="101"/>
      <c r="G1019" s="101"/>
      <c r="H1019" s="101"/>
      <c r="I1019" s="101"/>
      <c r="J1019" s="101"/>
      <c r="S1019" s="101"/>
      <c r="T1019" s="241"/>
      <c r="U1019" s="241"/>
      <c r="V1019" s="241"/>
      <c r="W1019" s="241"/>
      <c r="X1019" s="241"/>
      <c r="Y1019" s="241"/>
      <c r="Z1019" s="252"/>
    </row>
    <row r="1020" spans="3:26" ht="16.5">
      <c r="C1020" s="101"/>
      <c r="D1020" s="101"/>
      <c r="E1020" s="101"/>
      <c r="F1020" s="101"/>
      <c r="G1020" s="101"/>
      <c r="H1020" s="101"/>
      <c r="I1020" s="101"/>
      <c r="J1020" s="101"/>
      <c r="S1020" s="101"/>
      <c r="T1020" s="241"/>
      <c r="U1020" s="241"/>
      <c r="V1020" s="241"/>
      <c r="W1020" s="241"/>
      <c r="X1020" s="241"/>
      <c r="Y1020" s="241"/>
      <c r="Z1020" s="252"/>
    </row>
    <row r="1021" spans="3:26" ht="16.5">
      <c r="C1021" s="101"/>
      <c r="D1021" s="101"/>
      <c r="E1021" s="101"/>
      <c r="F1021" s="101"/>
      <c r="G1021" s="101"/>
      <c r="H1021" s="101"/>
      <c r="I1021" s="101"/>
      <c r="J1021" s="101"/>
      <c r="S1021" s="101"/>
      <c r="T1021" s="241"/>
      <c r="U1021" s="241"/>
      <c r="V1021" s="241"/>
      <c r="W1021" s="241"/>
      <c r="X1021" s="241"/>
      <c r="Y1021" s="241"/>
      <c r="Z1021" s="252"/>
    </row>
    <row r="1022" spans="3:26" ht="16.5">
      <c r="C1022" s="101"/>
      <c r="D1022" s="101"/>
      <c r="E1022" s="101"/>
      <c r="F1022" s="101"/>
      <c r="G1022" s="101"/>
      <c r="H1022" s="101"/>
      <c r="I1022" s="101"/>
      <c r="J1022" s="101"/>
      <c r="S1022" s="101"/>
      <c r="T1022" s="241"/>
      <c r="U1022" s="241"/>
      <c r="V1022" s="241"/>
      <c r="W1022" s="241"/>
      <c r="X1022" s="241"/>
      <c r="Y1022" s="241"/>
      <c r="Z1022" s="252"/>
    </row>
    <row r="1023" spans="3:26" ht="16.5">
      <c r="C1023" s="101"/>
      <c r="D1023" s="101"/>
      <c r="E1023" s="101"/>
      <c r="F1023" s="101"/>
      <c r="G1023" s="101"/>
      <c r="H1023" s="101"/>
      <c r="I1023" s="101"/>
      <c r="J1023" s="101"/>
      <c r="S1023" s="101"/>
      <c r="T1023" s="241"/>
      <c r="U1023" s="241"/>
      <c r="V1023" s="241"/>
      <c r="W1023" s="241"/>
      <c r="X1023" s="241"/>
      <c r="Y1023" s="241"/>
      <c r="Z1023" s="252"/>
    </row>
    <row r="1024" spans="3:26" ht="16.5">
      <c r="C1024" s="101"/>
      <c r="D1024" s="101"/>
      <c r="E1024" s="101"/>
      <c r="F1024" s="101"/>
      <c r="G1024" s="101"/>
      <c r="H1024" s="101"/>
      <c r="I1024" s="101"/>
      <c r="J1024" s="101"/>
      <c r="S1024" s="101"/>
      <c r="T1024" s="241"/>
      <c r="U1024" s="241"/>
      <c r="V1024" s="241"/>
      <c r="W1024" s="241"/>
      <c r="X1024" s="241"/>
      <c r="Y1024" s="241"/>
      <c r="Z1024" s="252"/>
    </row>
    <row r="1025" spans="3:26" ht="16.5">
      <c r="C1025" s="101"/>
      <c r="D1025" s="101"/>
      <c r="E1025" s="101"/>
      <c r="F1025" s="101"/>
      <c r="G1025" s="101"/>
      <c r="H1025" s="101"/>
      <c r="I1025" s="101"/>
      <c r="J1025" s="101"/>
      <c r="S1025" s="101"/>
      <c r="T1025" s="241"/>
      <c r="U1025" s="241"/>
      <c r="V1025" s="241"/>
      <c r="W1025" s="241"/>
      <c r="X1025" s="241"/>
      <c r="Y1025" s="241"/>
      <c r="Z1025" s="252"/>
    </row>
    <row r="1026" spans="3:26" ht="16.5">
      <c r="C1026" s="101"/>
      <c r="D1026" s="101"/>
      <c r="E1026" s="101"/>
      <c r="F1026" s="101"/>
      <c r="G1026" s="101"/>
      <c r="H1026" s="101"/>
      <c r="I1026" s="101"/>
      <c r="J1026" s="101"/>
      <c r="S1026" s="101"/>
      <c r="T1026" s="241"/>
      <c r="U1026" s="241"/>
      <c r="V1026" s="241"/>
      <c r="W1026" s="241"/>
      <c r="X1026" s="241"/>
      <c r="Y1026" s="241"/>
      <c r="Z1026" s="252"/>
    </row>
    <row r="1027" spans="3:26" ht="16.5">
      <c r="C1027" s="101"/>
      <c r="D1027" s="101"/>
      <c r="E1027" s="101"/>
      <c r="F1027" s="101"/>
      <c r="G1027" s="101"/>
      <c r="H1027" s="101"/>
      <c r="I1027" s="101"/>
      <c r="J1027" s="101"/>
      <c r="S1027" s="101"/>
      <c r="T1027" s="241"/>
      <c r="U1027" s="241"/>
      <c r="V1027" s="241"/>
      <c r="W1027" s="241"/>
      <c r="X1027" s="241"/>
      <c r="Y1027" s="241"/>
      <c r="Z1027" s="252"/>
    </row>
    <row r="1028" spans="3:26" ht="16.5">
      <c r="C1028" s="101"/>
      <c r="D1028" s="101"/>
      <c r="E1028" s="101"/>
      <c r="F1028" s="101"/>
      <c r="G1028" s="101"/>
      <c r="H1028" s="101"/>
      <c r="I1028" s="101"/>
      <c r="J1028" s="101"/>
      <c r="S1028" s="101"/>
      <c r="T1028" s="241"/>
      <c r="U1028" s="241"/>
      <c r="V1028" s="241"/>
      <c r="W1028" s="241"/>
      <c r="X1028" s="241"/>
      <c r="Y1028" s="241"/>
      <c r="Z1028" s="252"/>
    </row>
    <row r="1029" spans="3:26" ht="16.5">
      <c r="C1029" s="101"/>
      <c r="D1029" s="101"/>
      <c r="E1029" s="101"/>
      <c r="F1029" s="101"/>
      <c r="G1029" s="101"/>
      <c r="H1029" s="101"/>
      <c r="I1029" s="101"/>
      <c r="J1029" s="101"/>
      <c r="S1029" s="101"/>
      <c r="T1029" s="241"/>
      <c r="U1029" s="241"/>
      <c r="V1029" s="241"/>
      <c r="W1029" s="241"/>
      <c r="X1029" s="241"/>
      <c r="Y1029" s="241"/>
      <c r="Z1029" s="252"/>
    </row>
    <row r="1030" spans="3:26" ht="16.5">
      <c r="C1030" s="101"/>
      <c r="D1030" s="101"/>
      <c r="E1030" s="101"/>
      <c r="F1030" s="101"/>
      <c r="G1030" s="101"/>
      <c r="H1030" s="101"/>
      <c r="I1030" s="101"/>
      <c r="J1030" s="101"/>
      <c r="S1030" s="101"/>
      <c r="T1030" s="241"/>
      <c r="U1030" s="241"/>
      <c r="V1030" s="241"/>
      <c r="W1030" s="241"/>
      <c r="X1030" s="241"/>
      <c r="Y1030" s="241"/>
      <c r="Z1030" s="252"/>
    </row>
    <row r="1031" spans="3:26" ht="16.5">
      <c r="C1031" s="101"/>
      <c r="D1031" s="101"/>
      <c r="E1031" s="101"/>
      <c r="F1031" s="101"/>
      <c r="G1031" s="101"/>
      <c r="H1031" s="101"/>
      <c r="I1031" s="101"/>
      <c r="J1031" s="101"/>
      <c r="S1031" s="101"/>
      <c r="T1031" s="241"/>
      <c r="U1031" s="241"/>
      <c r="V1031" s="241"/>
      <c r="W1031" s="241"/>
      <c r="X1031" s="241"/>
      <c r="Y1031" s="241"/>
      <c r="Z1031" s="252"/>
    </row>
    <row r="1032" spans="3:26" ht="16.5">
      <c r="C1032" s="101"/>
      <c r="D1032" s="101"/>
      <c r="E1032" s="101"/>
      <c r="F1032" s="101"/>
      <c r="G1032" s="101"/>
      <c r="H1032" s="101"/>
      <c r="I1032" s="101"/>
      <c r="J1032" s="101"/>
      <c r="S1032" s="101"/>
      <c r="T1032" s="241"/>
      <c r="U1032" s="241"/>
      <c r="V1032" s="241"/>
      <c r="W1032" s="241"/>
      <c r="X1032" s="241"/>
      <c r="Y1032" s="241"/>
      <c r="Z1032" s="252"/>
    </row>
    <row r="1033" spans="3:26" ht="16.5">
      <c r="C1033" s="101"/>
      <c r="D1033" s="101"/>
      <c r="E1033" s="101"/>
      <c r="F1033" s="101"/>
      <c r="G1033" s="101"/>
      <c r="H1033" s="101"/>
      <c r="I1033" s="101"/>
      <c r="J1033" s="101"/>
      <c r="S1033" s="101"/>
      <c r="T1033" s="241"/>
      <c r="U1033" s="241"/>
      <c r="V1033" s="241"/>
      <c r="W1033" s="241"/>
      <c r="X1033" s="241"/>
      <c r="Y1033" s="241"/>
      <c r="Z1033" s="252"/>
    </row>
    <row r="1034" spans="3:26" ht="16.5">
      <c r="C1034" s="101"/>
      <c r="D1034" s="101"/>
      <c r="E1034" s="101"/>
      <c r="F1034" s="101"/>
      <c r="G1034" s="101"/>
      <c r="H1034" s="101"/>
      <c r="I1034" s="101"/>
      <c r="J1034" s="101"/>
      <c r="S1034" s="101"/>
      <c r="T1034" s="241"/>
      <c r="U1034" s="241"/>
      <c r="V1034" s="241"/>
      <c r="W1034" s="241"/>
      <c r="X1034" s="241"/>
      <c r="Y1034" s="241"/>
      <c r="Z1034" s="252"/>
    </row>
    <row r="1035" spans="3:26" ht="16.5">
      <c r="C1035" s="101"/>
      <c r="D1035" s="101"/>
      <c r="E1035" s="101"/>
      <c r="F1035" s="101"/>
      <c r="G1035" s="101"/>
      <c r="H1035" s="101"/>
      <c r="I1035" s="101"/>
      <c r="J1035" s="101"/>
      <c r="S1035" s="101"/>
      <c r="T1035" s="241"/>
      <c r="U1035" s="241"/>
      <c r="V1035" s="241"/>
      <c r="W1035" s="241"/>
      <c r="X1035" s="241"/>
      <c r="Y1035" s="241"/>
      <c r="Z1035" s="252"/>
    </row>
    <row r="1036" spans="3:26" ht="16.5">
      <c r="C1036" s="101"/>
      <c r="D1036" s="101"/>
      <c r="E1036" s="101"/>
      <c r="F1036" s="101"/>
      <c r="G1036" s="101"/>
      <c r="H1036" s="101"/>
      <c r="I1036" s="101"/>
      <c r="J1036" s="101"/>
      <c r="S1036" s="101"/>
      <c r="T1036" s="241"/>
      <c r="U1036" s="241"/>
      <c r="V1036" s="241"/>
      <c r="W1036" s="241"/>
      <c r="X1036" s="241"/>
      <c r="Y1036" s="241"/>
      <c r="Z1036" s="252"/>
    </row>
    <row r="1037" spans="3:26" ht="16.5">
      <c r="C1037" s="101"/>
      <c r="D1037" s="101"/>
      <c r="E1037" s="101"/>
      <c r="F1037" s="101"/>
      <c r="G1037" s="101"/>
      <c r="H1037" s="101"/>
      <c r="I1037" s="101"/>
      <c r="J1037" s="101"/>
      <c r="S1037" s="101"/>
      <c r="T1037" s="241"/>
      <c r="U1037" s="241"/>
      <c r="V1037" s="241"/>
      <c r="W1037" s="241"/>
      <c r="X1037" s="241"/>
      <c r="Y1037" s="241"/>
      <c r="Z1037" s="252"/>
    </row>
    <row r="1038" spans="3:26" ht="16.5">
      <c r="C1038" s="101"/>
      <c r="D1038" s="101"/>
      <c r="E1038" s="101"/>
      <c r="F1038" s="101"/>
      <c r="G1038" s="101"/>
      <c r="H1038" s="101"/>
      <c r="I1038" s="101"/>
      <c r="J1038" s="101"/>
      <c r="S1038" s="101"/>
      <c r="T1038" s="241"/>
      <c r="U1038" s="241"/>
      <c r="V1038" s="241"/>
      <c r="W1038" s="241"/>
      <c r="X1038" s="241"/>
      <c r="Y1038" s="241"/>
      <c r="Z1038" s="252"/>
    </row>
    <row r="1039" spans="3:26" ht="16.5">
      <c r="C1039" s="101"/>
      <c r="D1039" s="101"/>
      <c r="E1039" s="101"/>
      <c r="F1039" s="101"/>
      <c r="G1039" s="101"/>
      <c r="H1039" s="101"/>
      <c r="I1039" s="101"/>
      <c r="J1039" s="101"/>
      <c r="S1039" s="101"/>
      <c r="T1039" s="241"/>
      <c r="U1039" s="241"/>
      <c r="V1039" s="241"/>
      <c r="W1039" s="241"/>
      <c r="X1039" s="241"/>
      <c r="Y1039" s="241"/>
      <c r="Z1039" s="252"/>
    </row>
    <row r="1040" spans="3:26" ht="16.5">
      <c r="C1040" s="101"/>
      <c r="D1040" s="101"/>
      <c r="E1040" s="101"/>
      <c r="F1040" s="101"/>
      <c r="G1040" s="101"/>
      <c r="H1040" s="101"/>
      <c r="I1040" s="101"/>
      <c r="J1040" s="101"/>
      <c r="S1040" s="101"/>
      <c r="T1040" s="241"/>
      <c r="U1040" s="241"/>
      <c r="V1040" s="241"/>
      <c r="W1040" s="241"/>
      <c r="X1040" s="241"/>
      <c r="Y1040" s="241"/>
      <c r="Z1040" s="252"/>
    </row>
    <row r="1041" spans="3:26" ht="16.5">
      <c r="C1041" s="101"/>
      <c r="D1041" s="101"/>
      <c r="E1041" s="101"/>
      <c r="F1041" s="101"/>
      <c r="G1041" s="101"/>
      <c r="H1041" s="101"/>
      <c r="I1041" s="101"/>
      <c r="J1041" s="101"/>
      <c r="S1041" s="101"/>
      <c r="T1041" s="241"/>
      <c r="U1041" s="241"/>
      <c r="V1041" s="241"/>
      <c r="W1041" s="241"/>
      <c r="X1041" s="241"/>
      <c r="Y1041" s="241"/>
      <c r="Z1041" s="252"/>
    </row>
    <row r="1042" spans="3:26" ht="16.5">
      <c r="C1042" s="101"/>
      <c r="D1042" s="101"/>
      <c r="E1042" s="101"/>
      <c r="F1042" s="101"/>
      <c r="G1042" s="101"/>
      <c r="H1042" s="101"/>
      <c r="I1042" s="101"/>
      <c r="J1042" s="101"/>
      <c r="S1042" s="101"/>
      <c r="T1042" s="241"/>
      <c r="U1042" s="241"/>
      <c r="V1042" s="241"/>
      <c r="W1042" s="241"/>
      <c r="X1042" s="241"/>
      <c r="Y1042" s="241"/>
      <c r="Z1042" s="252"/>
    </row>
    <row r="1043" spans="3:26" ht="16.5">
      <c r="C1043" s="101"/>
      <c r="D1043" s="101"/>
      <c r="E1043" s="101"/>
      <c r="F1043" s="101"/>
      <c r="G1043" s="101"/>
      <c r="H1043" s="101"/>
      <c r="I1043" s="101"/>
      <c r="J1043" s="101"/>
      <c r="S1043" s="101"/>
      <c r="T1043" s="241"/>
      <c r="U1043" s="241"/>
      <c r="V1043" s="241"/>
      <c r="W1043" s="241"/>
      <c r="X1043" s="241"/>
      <c r="Y1043" s="241"/>
      <c r="Z1043" s="252"/>
    </row>
    <row r="1044" spans="3:26" ht="16.5">
      <c r="C1044" s="101"/>
      <c r="D1044" s="101"/>
      <c r="E1044" s="101"/>
      <c r="F1044" s="101"/>
      <c r="G1044" s="101"/>
      <c r="H1044" s="101"/>
      <c r="I1044" s="101"/>
      <c r="J1044" s="101"/>
      <c r="S1044" s="101"/>
      <c r="T1044" s="241"/>
      <c r="U1044" s="241"/>
      <c r="V1044" s="241"/>
      <c r="W1044" s="241"/>
      <c r="X1044" s="241"/>
      <c r="Y1044" s="241"/>
      <c r="Z1044" s="252"/>
    </row>
    <row r="1045" spans="3:26" ht="16.5">
      <c r="C1045" s="101"/>
      <c r="D1045" s="101"/>
      <c r="E1045" s="101"/>
      <c r="F1045" s="101"/>
      <c r="G1045" s="101"/>
      <c r="H1045" s="101"/>
      <c r="I1045" s="101"/>
      <c r="J1045" s="101"/>
      <c r="S1045" s="101"/>
      <c r="T1045" s="241"/>
      <c r="U1045" s="241"/>
      <c r="V1045" s="241"/>
      <c r="W1045" s="241"/>
      <c r="X1045" s="241"/>
      <c r="Y1045" s="241"/>
      <c r="Z1045" s="252"/>
    </row>
    <row r="1046" spans="3:26" ht="16.5">
      <c r="C1046" s="101"/>
      <c r="D1046" s="101"/>
      <c r="E1046" s="101"/>
      <c r="F1046" s="101"/>
      <c r="G1046" s="101"/>
      <c r="H1046" s="101"/>
      <c r="I1046" s="101"/>
      <c r="J1046" s="101"/>
      <c r="S1046" s="101"/>
      <c r="T1046" s="241"/>
      <c r="U1046" s="241"/>
      <c r="V1046" s="241"/>
      <c r="W1046" s="241"/>
      <c r="X1046" s="241"/>
      <c r="Y1046" s="241"/>
      <c r="Z1046" s="252"/>
    </row>
    <row r="1047" spans="3:26" ht="16.5">
      <c r="C1047" s="101"/>
      <c r="D1047" s="101"/>
      <c r="E1047" s="101"/>
      <c r="F1047" s="101"/>
      <c r="G1047" s="101"/>
      <c r="H1047" s="101"/>
      <c r="I1047" s="101"/>
      <c r="J1047" s="101"/>
      <c r="S1047" s="101"/>
      <c r="T1047" s="241"/>
      <c r="U1047" s="241"/>
      <c r="V1047" s="241"/>
      <c r="W1047" s="241"/>
      <c r="X1047" s="241"/>
      <c r="Y1047" s="241"/>
      <c r="Z1047" s="252"/>
    </row>
    <row r="1048" spans="3:26" ht="16.5">
      <c r="C1048" s="101"/>
      <c r="D1048" s="101"/>
      <c r="E1048" s="101"/>
      <c r="F1048" s="101"/>
      <c r="G1048" s="101"/>
      <c r="H1048" s="101"/>
      <c r="I1048" s="101"/>
      <c r="J1048" s="101"/>
      <c r="S1048" s="101"/>
      <c r="T1048" s="241"/>
      <c r="U1048" s="241"/>
      <c r="V1048" s="241"/>
      <c r="W1048" s="241"/>
      <c r="X1048" s="241"/>
      <c r="Y1048" s="241"/>
      <c r="Z1048" s="252"/>
    </row>
    <row r="1049" spans="3:26" ht="16.5">
      <c r="C1049" s="101"/>
      <c r="D1049" s="101"/>
      <c r="E1049" s="101"/>
      <c r="F1049" s="101"/>
      <c r="G1049" s="101"/>
      <c r="H1049" s="101"/>
      <c r="I1049" s="101"/>
      <c r="J1049" s="101"/>
      <c r="S1049" s="101"/>
      <c r="T1049" s="241"/>
      <c r="U1049" s="241"/>
      <c r="V1049" s="241"/>
      <c r="W1049" s="241"/>
      <c r="X1049" s="241"/>
      <c r="Y1049" s="241"/>
      <c r="Z1049" s="252"/>
    </row>
    <row r="1050" spans="3:26" ht="16.5">
      <c r="C1050" s="101"/>
      <c r="D1050" s="101"/>
      <c r="E1050" s="101"/>
      <c r="F1050" s="101"/>
      <c r="G1050" s="101"/>
      <c r="H1050" s="101"/>
      <c r="I1050" s="101"/>
      <c r="J1050" s="101"/>
      <c r="S1050" s="101"/>
      <c r="T1050" s="241"/>
      <c r="U1050" s="241"/>
      <c r="V1050" s="241"/>
      <c r="W1050" s="241"/>
      <c r="X1050" s="241"/>
      <c r="Y1050" s="241"/>
      <c r="Z1050" s="252"/>
    </row>
    <row r="1051" spans="3:26" ht="16.5">
      <c r="C1051" s="101"/>
      <c r="D1051" s="101"/>
      <c r="E1051" s="101"/>
      <c r="F1051" s="101"/>
      <c r="G1051" s="101"/>
      <c r="H1051" s="101"/>
      <c r="I1051" s="101"/>
      <c r="J1051" s="101"/>
      <c r="S1051" s="101"/>
      <c r="T1051" s="241"/>
      <c r="U1051" s="241"/>
      <c r="V1051" s="241"/>
      <c r="W1051" s="241"/>
      <c r="X1051" s="241"/>
      <c r="Y1051" s="241"/>
      <c r="Z1051" s="252"/>
    </row>
    <row r="1052" spans="3:26" ht="16.5">
      <c r="C1052" s="101"/>
      <c r="D1052" s="101"/>
      <c r="E1052" s="101"/>
      <c r="F1052" s="101"/>
      <c r="G1052" s="101"/>
      <c r="H1052" s="101"/>
      <c r="I1052" s="101"/>
      <c r="J1052" s="101"/>
      <c r="S1052" s="101"/>
      <c r="T1052" s="241"/>
      <c r="U1052" s="241"/>
      <c r="V1052" s="241"/>
      <c r="W1052" s="241"/>
      <c r="X1052" s="241"/>
      <c r="Y1052" s="241"/>
      <c r="Z1052" s="252"/>
    </row>
    <row r="1053" spans="3:26" ht="16.5">
      <c r="C1053" s="101"/>
      <c r="D1053" s="101"/>
      <c r="E1053" s="101"/>
      <c r="F1053" s="101"/>
      <c r="G1053" s="101"/>
      <c r="H1053" s="101"/>
      <c r="I1053" s="101"/>
      <c r="J1053" s="101"/>
      <c r="S1053" s="101"/>
      <c r="T1053" s="241"/>
      <c r="U1053" s="241"/>
      <c r="V1053" s="241"/>
      <c r="W1053" s="241"/>
      <c r="X1053" s="241"/>
      <c r="Y1053" s="241"/>
      <c r="Z1053" s="252"/>
    </row>
    <row r="1054" spans="3:26" ht="16.5">
      <c r="C1054" s="101"/>
      <c r="D1054" s="101"/>
      <c r="E1054" s="101"/>
      <c r="F1054" s="101"/>
      <c r="G1054" s="101"/>
      <c r="H1054" s="101"/>
      <c r="I1054" s="101"/>
      <c r="J1054" s="101"/>
      <c r="S1054" s="101"/>
      <c r="T1054" s="241"/>
      <c r="U1054" s="241"/>
      <c r="V1054" s="241"/>
      <c r="W1054" s="241"/>
      <c r="X1054" s="241"/>
      <c r="Y1054" s="241"/>
      <c r="Z1054" s="252"/>
    </row>
    <row r="1055" spans="3:26" ht="16.5">
      <c r="C1055" s="101"/>
      <c r="D1055" s="101"/>
      <c r="E1055" s="101"/>
      <c r="F1055" s="101"/>
      <c r="G1055" s="101"/>
      <c r="H1055" s="101"/>
      <c r="I1055" s="101"/>
      <c r="J1055" s="101"/>
      <c r="S1055" s="101"/>
      <c r="T1055" s="241"/>
      <c r="U1055" s="241"/>
      <c r="V1055" s="241"/>
      <c r="W1055" s="241"/>
      <c r="X1055" s="241"/>
      <c r="Y1055" s="241"/>
      <c r="Z1055" s="252"/>
    </row>
    <row r="1056" spans="3:26" ht="16.5">
      <c r="C1056" s="101"/>
      <c r="D1056" s="101"/>
      <c r="E1056" s="101"/>
      <c r="F1056" s="101"/>
      <c r="G1056" s="101"/>
      <c r="H1056" s="101"/>
      <c r="I1056" s="101"/>
      <c r="J1056" s="101"/>
      <c r="S1056" s="101"/>
      <c r="T1056" s="241"/>
      <c r="U1056" s="241"/>
      <c r="V1056" s="241"/>
      <c r="W1056" s="241"/>
      <c r="X1056" s="241"/>
      <c r="Y1056" s="241"/>
      <c r="Z1056" s="252"/>
    </row>
    <row r="1057" spans="3:26" ht="16.5">
      <c r="C1057" s="101"/>
      <c r="D1057" s="101"/>
      <c r="E1057" s="101"/>
      <c r="F1057" s="101"/>
      <c r="G1057" s="101"/>
      <c r="H1057" s="101"/>
      <c r="I1057" s="101"/>
      <c r="J1057" s="101"/>
      <c r="S1057" s="101"/>
      <c r="T1057" s="241"/>
      <c r="U1057" s="241"/>
      <c r="V1057" s="241"/>
      <c r="W1057" s="241"/>
      <c r="X1057" s="241"/>
      <c r="Y1057" s="241"/>
      <c r="Z1057" s="252"/>
    </row>
    <row r="1058" spans="3:26" ht="16.5">
      <c r="C1058" s="101"/>
      <c r="D1058" s="101"/>
      <c r="E1058" s="101"/>
      <c r="F1058" s="101"/>
      <c r="G1058" s="101"/>
      <c r="H1058" s="101"/>
      <c r="I1058" s="101"/>
      <c r="J1058" s="101"/>
      <c r="S1058" s="101"/>
      <c r="T1058" s="241"/>
      <c r="U1058" s="241"/>
      <c r="V1058" s="241"/>
      <c r="W1058" s="241"/>
      <c r="X1058" s="241"/>
      <c r="Y1058" s="241"/>
      <c r="Z1058" s="252"/>
    </row>
    <row r="1059" spans="3:26" ht="16.5">
      <c r="C1059" s="101"/>
      <c r="D1059" s="101"/>
      <c r="E1059" s="101"/>
      <c r="F1059" s="101"/>
      <c r="G1059" s="101"/>
      <c r="H1059" s="101"/>
      <c r="I1059" s="101"/>
      <c r="J1059" s="101"/>
      <c r="S1059" s="101"/>
      <c r="T1059" s="241"/>
      <c r="U1059" s="241"/>
      <c r="V1059" s="241"/>
      <c r="W1059" s="241"/>
      <c r="X1059" s="241"/>
      <c r="Y1059" s="241"/>
      <c r="Z1059" s="252"/>
    </row>
    <row r="1060" spans="3:26" ht="16.5">
      <c r="C1060" s="101"/>
      <c r="D1060" s="101"/>
      <c r="E1060" s="101"/>
      <c r="F1060" s="101"/>
      <c r="G1060" s="101"/>
      <c r="H1060" s="101"/>
      <c r="I1060" s="101"/>
      <c r="J1060" s="101"/>
      <c r="S1060" s="101"/>
      <c r="T1060" s="241"/>
      <c r="U1060" s="241"/>
      <c r="V1060" s="241"/>
      <c r="W1060" s="241"/>
      <c r="X1060" s="241"/>
      <c r="Y1060" s="241"/>
      <c r="Z1060" s="252"/>
    </row>
    <row r="1061" spans="3:26" ht="16.5">
      <c r="C1061" s="101"/>
      <c r="D1061" s="101"/>
      <c r="E1061" s="101"/>
      <c r="F1061" s="101"/>
      <c r="G1061" s="101"/>
      <c r="H1061" s="101"/>
      <c r="I1061" s="101"/>
      <c r="J1061" s="101"/>
      <c r="S1061" s="101"/>
      <c r="T1061" s="241"/>
      <c r="U1061" s="241"/>
      <c r="V1061" s="241"/>
      <c r="W1061" s="241"/>
      <c r="X1061" s="241"/>
      <c r="Y1061" s="241"/>
      <c r="Z1061" s="252"/>
    </row>
    <row r="1062" spans="3:26" ht="16.5">
      <c r="C1062" s="101"/>
      <c r="D1062" s="101"/>
      <c r="E1062" s="101"/>
      <c r="F1062" s="101"/>
      <c r="G1062" s="101"/>
      <c r="H1062" s="101"/>
      <c r="I1062" s="101"/>
      <c r="J1062" s="101"/>
      <c r="S1062" s="101"/>
      <c r="T1062" s="241"/>
      <c r="U1062" s="241"/>
      <c r="V1062" s="241"/>
      <c r="W1062" s="241"/>
      <c r="X1062" s="241"/>
      <c r="Y1062" s="241"/>
      <c r="Z1062" s="252"/>
    </row>
    <row r="1063" spans="3:26" ht="16.5">
      <c r="C1063" s="101"/>
      <c r="D1063" s="101"/>
      <c r="E1063" s="101"/>
      <c r="F1063" s="101"/>
      <c r="G1063" s="101"/>
      <c r="H1063" s="101"/>
      <c r="I1063" s="101"/>
      <c r="J1063" s="101"/>
      <c r="S1063" s="101"/>
      <c r="T1063" s="241"/>
      <c r="U1063" s="241"/>
      <c r="V1063" s="241"/>
      <c r="W1063" s="241"/>
      <c r="X1063" s="241"/>
      <c r="Y1063" s="241"/>
      <c r="Z1063" s="252"/>
    </row>
    <row r="1064" spans="3:26" ht="16.5">
      <c r="C1064" s="101"/>
      <c r="D1064" s="101"/>
      <c r="E1064" s="101"/>
      <c r="F1064" s="101"/>
      <c r="G1064" s="101"/>
      <c r="H1064" s="101"/>
      <c r="I1064" s="101"/>
      <c r="J1064" s="101"/>
      <c r="S1064" s="101"/>
      <c r="T1064" s="241"/>
      <c r="U1064" s="241"/>
      <c r="V1064" s="241"/>
      <c r="W1064" s="241"/>
      <c r="X1064" s="241"/>
      <c r="Y1064" s="241"/>
      <c r="Z1064" s="252"/>
    </row>
    <row r="1065" spans="3:26" ht="16.5">
      <c r="C1065" s="101"/>
      <c r="D1065" s="101"/>
      <c r="E1065" s="101"/>
      <c r="F1065" s="101"/>
      <c r="G1065" s="101"/>
      <c r="H1065" s="101"/>
      <c r="I1065" s="101"/>
      <c r="J1065" s="101"/>
      <c r="S1065" s="101"/>
      <c r="T1065" s="241"/>
      <c r="U1065" s="241"/>
      <c r="V1065" s="241"/>
      <c r="W1065" s="241"/>
      <c r="X1065" s="241"/>
      <c r="Y1065" s="241"/>
      <c r="Z1065" s="252"/>
    </row>
    <row r="1066" spans="3:26" ht="16.5">
      <c r="C1066" s="101"/>
      <c r="D1066" s="101"/>
      <c r="E1066" s="101"/>
      <c r="F1066" s="101"/>
      <c r="G1066" s="101"/>
      <c r="H1066" s="101"/>
      <c r="I1066" s="101"/>
      <c r="J1066" s="101"/>
      <c r="S1066" s="101"/>
      <c r="T1066" s="241"/>
      <c r="U1066" s="241"/>
      <c r="V1066" s="241"/>
      <c r="W1066" s="241"/>
      <c r="X1066" s="241"/>
      <c r="Y1066" s="241"/>
      <c r="Z1066" s="252"/>
    </row>
    <row r="1067" spans="3:26" ht="16.5">
      <c r="C1067" s="101"/>
      <c r="D1067" s="101"/>
      <c r="E1067" s="101"/>
      <c r="F1067" s="101"/>
      <c r="G1067" s="101"/>
      <c r="H1067" s="101"/>
      <c r="I1067" s="101"/>
      <c r="J1067" s="101"/>
      <c r="S1067" s="101"/>
      <c r="T1067" s="241"/>
      <c r="U1067" s="241"/>
      <c r="V1067" s="241"/>
      <c r="W1067" s="241"/>
      <c r="X1067" s="241"/>
      <c r="Y1067" s="241"/>
      <c r="Z1067" s="252"/>
    </row>
    <row r="1068" spans="3:26" ht="16.5">
      <c r="C1068" s="101"/>
      <c r="D1068" s="101"/>
      <c r="E1068" s="101"/>
      <c r="F1068" s="101"/>
      <c r="G1068" s="101"/>
      <c r="H1068" s="101"/>
      <c r="I1068" s="101"/>
      <c r="J1068" s="101"/>
      <c r="S1068" s="101"/>
      <c r="T1068" s="241"/>
      <c r="U1068" s="241"/>
      <c r="V1068" s="241"/>
      <c r="W1068" s="241"/>
      <c r="X1068" s="241"/>
      <c r="Y1068" s="241"/>
      <c r="Z1068" s="252"/>
    </row>
    <row r="1069" spans="3:26" ht="16.5">
      <c r="C1069" s="101"/>
      <c r="D1069" s="101"/>
      <c r="E1069" s="101"/>
      <c r="F1069" s="101"/>
      <c r="G1069" s="101"/>
      <c r="H1069" s="101"/>
      <c r="I1069" s="101"/>
      <c r="J1069" s="101"/>
      <c r="S1069" s="101"/>
      <c r="T1069" s="241"/>
      <c r="U1069" s="241"/>
      <c r="V1069" s="241"/>
      <c r="W1069" s="241"/>
      <c r="X1069" s="241"/>
      <c r="Y1069" s="241"/>
      <c r="Z1069" s="252"/>
    </row>
    <row r="1070" spans="3:26" ht="16.5">
      <c r="C1070" s="101"/>
      <c r="D1070" s="101"/>
      <c r="E1070" s="101"/>
      <c r="F1070" s="101"/>
      <c r="G1070" s="101"/>
      <c r="H1070" s="101"/>
      <c r="I1070" s="101"/>
      <c r="J1070" s="101"/>
      <c r="S1070" s="101"/>
      <c r="T1070" s="241"/>
      <c r="U1070" s="241"/>
      <c r="V1070" s="241"/>
      <c r="W1070" s="241"/>
      <c r="X1070" s="241"/>
      <c r="Y1070" s="241"/>
      <c r="Z1070" s="252"/>
    </row>
    <row r="1071" spans="3:26" ht="16.5">
      <c r="C1071" s="101"/>
      <c r="D1071" s="101"/>
      <c r="E1071" s="101"/>
      <c r="F1071" s="101"/>
      <c r="G1071" s="101"/>
      <c r="H1071" s="101"/>
      <c r="I1071" s="101"/>
      <c r="J1071" s="101"/>
      <c r="S1071" s="101"/>
      <c r="T1071" s="241"/>
      <c r="U1071" s="241"/>
      <c r="V1071" s="241"/>
      <c r="W1071" s="241"/>
      <c r="X1071" s="241"/>
      <c r="Y1071" s="241"/>
      <c r="Z1071" s="252"/>
    </row>
    <row r="1072" spans="3:26" ht="16.5">
      <c r="C1072" s="101"/>
      <c r="D1072" s="101"/>
      <c r="E1072" s="101"/>
      <c r="F1072" s="101"/>
      <c r="G1072" s="101"/>
      <c r="H1072" s="101"/>
      <c r="I1072" s="101"/>
      <c r="J1072" s="101"/>
      <c r="S1072" s="101"/>
      <c r="T1072" s="241"/>
      <c r="U1072" s="241"/>
      <c r="V1072" s="241"/>
      <c r="W1072" s="241"/>
      <c r="X1072" s="241"/>
      <c r="Y1072" s="241"/>
      <c r="Z1072" s="252"/>
    </row>
    <row r="1073" spans="3:26" ht="16.5">
      <c r="C1073" s="101"/>
      <c r="D1073" s="101"/>
      <c r="E1073" s="101"/>
      <c r="F1073" s="101"/>
      <c r="G1073" s="101"/>
      <c r="H1073" s="101"/>
      <c r="I1073" s="101"/>
      <c r="J1073" s="101"/>
      <c r="S1073" s="101"/>
      <c r="T1073" s="241"/>
      <c r="U1073" s="241"/>
      <c r="V1073" s="241"/>
      <c r="W1073" s="241"/>
      <c r="X1073" s="241"/>
      <c r="Y1073" s="241"/>
      <c r="Z1073" s="252"/>
    </row>
    <row r="1074" spans="3:26" ht="16.5">
      <c r="C1074" s="101"/>
      <c r="D1074" s="101"/>
      <c r="E1074" s="101"/>
      <c r="F1074" s="101"/>
      <c r="G1074" s="101"/>
      <c r="H1074" s="101"/>
      <c r="I1074" s="101"/>
      <c r="J1074" s="101"/>
      <c r="S1074" s="101"/>
      <c r="T1074" s="241"/>
      <c r="U1074" s="241"/>
      <c r="V1074" s="241"/>
      <c r="W1074" s="241"/>
      <c r="X1074" s="241"/>
      <c r="Y1074" s="241"/>
      <c r="Z1074" s="252"/>
    </row>
    <row r="1075" spans="3:26" ht="16.5">
      <c r="C1075" s="101"/>
      <c r="D1075" s="101"/>
      <c r="E1075" s="101"/>
      <c r="F1075" s="101"/>
      <c r="G1075" s="101"/>
      <c r="H1075" s="101"/>
      <c r="I1075" s="101"/>
      <c r="J1075" s="101"/>
      <c r="S1075" s="101"/>
      <c r="T1075" s="241"/>
      <c r="U1075" s="241"/>
      <c r="V1075" s="241"/>
      <c r="W1075" s="241"/>
      <c r="X1075" s="241"/>
      <c r="Y1075" s="241"/>
      <c r="Z1075" s="252"/>
    </row>
    <row r="1076" spans="3:26" ht="16.5">
      <c r="C1076" s="101"/>
      <c r="D1076" s="101"/>
      <c r="E1076" s="101"/>
      <c r="F1076" s="101"/>
      <c r="G1076" s="101"/>
      <c r="H1076" s="101"/>
      <c r="I1076" s="101"/>
      <c r="J1076" s="101"/>
      <c r="S1076" s="101"/>
      <c r="T1076" s="241"/>
      <c r="U1076" s="241"/>
      <c r="V1076" s="241"/>
      <c r="W1076" s="241"/>
      <c r="X1076" s="241"/>
      <c r="Y1076" s="241"/>
      <c r="Z1076" s="252"/>
    </row>
    <row r="1077" spans="3:26" ht="16.5">
      <c r="C1077" s="101"/>
      <c r="D1077" s="101"/>
      <c r="E1077" s="101"/>
      <c r="F1077" s="101"/>
      <c r="G1077" s="101"/>
      <c r="H1077" s="101"/>
      <c r="I1077" s="101"/>
      <c r="J1077" s="101"/>
      <c r="S1077" s="101"/>
      <c r="T1077" s="241"/>
      <c r="U1077" s="241"/>
      <c r="V1077" s="241"/>
      <c r="W1077" s="241"/>
      <c r="X1077" s="241"/>
      <c r="Y1077" s="241"/>
      <c r="Z1077" s="252"/>
    </row>
    <row r="1078" spans="3:26" ht="16.5">
      <c r="C1078" s="101"/>
      <c r="D1078" s="101"/>
      <c r="E1078" s="101"/>
      <c r="F1078" s="101"/>
      <c r="G1078" s="101"/>
      <c r="H1078" s="101"/>
      <c r="I1078" s="101"/>
      <c r="J1078" s="101"/>
      <c r="S1078" s="101"/>
      <c r="T1078" s="241"/>
      <c r="U1078" s="241"/>
      <c r="V1078" s="241"/>
      <c r="W1078" s="241"/>
      <c r="X1078" s="241"/>
      <c r="Y1078" s="241"/>
      <c r="Z1078" s="252"/>
    </row>
    <row r="1079" spans="3:26" ht="16.5">
      <c r="C1079" s="101"/>
      <c r="D1079" s="101"/>
      <c r="E1079" s="101"/>
      <c r="F1079" s="101"/>
      <c r="G1079" s="101"/>
      <c r="H1079" s="101"/>
      <c r="I1079" s="101"/>
      <c r="J1079" s="101"/>
      <c r="S1079" s="101"/>
      <c r="T1079" s="241"/>
      <c r="U1079" s="241"/>
      <c r="V1079" s="241"/>
      <c r="W1079" s="241"/>
      <c r="X1079" s="241"/>
      <c r="Y1079" s="241"/>
      <c r="Z1079" s="252"/>
    </row>
    <row r="1080" spans="3:26" ht="16.5">
      <c r="C1080" s="101"/>
      <c r="D1080" s="101"/>
      <c r="E1080" s="101"/>
      <c r="F1080" s="101"/>
      <c r="G1080" s="101"/>
      <c r="H1080" s="101"/>
      <c r="I1080" s="101"/>
      <c r="J1080" s="101"/>
      <c r="S1080" s="101"/>
      <c r="T1080" s="241"/>
      <c r="U1080" s="241"/>
      <c r="V1080" s="241"/>
      <c r="W1080" s="241"/>
      <c r="X1080" s="241"/>
      <c r="Y1080" s="241"/>
      <c r="Z1080" s="252"/>
    </row>
    <row r="1081" spans="3:26" ht="16.5">
      <c r="C1081" s="101"/>
      <c r="D1081" s="101"/>
      <c r="E1081" s="101"/>
      <c r="F1081" s="101"/>
      <c r="G1081" s="101"/>
      <c r="H1081" s="101"/>
      <c r="I1081" s="101"/>
      <c r="J1081" s="101"/>
      <c r="S1081" s="101"/>
      <c r="T1081" s="241"/>
      <c r="U1081" s="241"/>
      <c r="V1081" s="241"/>
      <c r="W1081" s="241"/>
      <c r="X1081" s="241"/>
      <c r="Y1081" s="241"/>
      <c r="Z1081" s="252"/>
    </row>
    <row r="1082" spans="3:26" ht="16.5">
      <c r="C1082" s="101"/>
      <c r="D1082" s="101"/>
      <c r="E1082" s="101"/>
      <c r="F1082" s="101"/>
      <c r="G1082" s="101"/>
      <c r="H1082" s="101"/>
      <c r="I1082" s="101"/>
      <c r="J1082" s="101"/>
      <c r="S1082" s="101"/>
      <c r="T1082" s="241"/>
      <c r="U1082" s="241"/>
      <c r="V1082" s="241"/>
      <c r="W1082" s="241"/>
      <c r="X1082" s="241"/>
      <c r="Y1082" s="241"/>
      <c r="Z1082" s="252"/>
    </row>
    <row r="1083" spans="3:26" ht="16.5">
      <c r="C1083" s="101"/>
      <c r="D1083" s="101"/>
      <c r="E1083" s="101"/>
      <c r="F1083" s="101"/>
      <c r="G1083" s="101"/>
      <c r="H1083" s="101"/>
      <c r="I1083" s="101"/>
      <c r="J1083" s="101"/>
      <c r="S1083" s="101"/>
      <c r="T1083" s="241"/>
      <c r="U1083" s="241"/>
      <c r="V1083" s="241"/>
      <c r="W1083" s="241"/>
      <c r="X1083" s="241"/>
      <c r="Y1083" s="241"/>
      <c r="Z1083" s="252"/>
    </row>
    <row r="1084" spans="3:26" ht="16.5">
      <c r="C1084" s="101"/>
      <c r="D1084" s="101"/>
      <c r="E1084" s="101"/>
      <c r="F1084" s="101"/>
      <c r="G1084" s="101"/>
      <c r="H1084" s="101"/>
      <c r="I1084" s="101"/>
      <c r="J1084" s="101"/>
      <c r="S1084" s="101"/>
      <c r="T1084" s="241"/>
      <c r="U1084" s="241"/>
      <c r="V1084" s="241"/>
      <c r="W1084" s="241"/>
      <c r="X1084" s="241"/>
      <c r="Y1084" s="241"/>
      <c r="Z1084" s="252"/>
    </row>
    <row r="1085" spans="3:26" ht="16.5">
      <c r="C1085" s="101"/>
      <c r="D1085" s="101"/>
      <c r="E1085" s="101"/>
      <c r="F1085" s="101"/>
      <c r="G1085" s="101"/>
      <c r="H1085" s="101"/>
      <c r="I1085" s="101"/>
      <c r="J1085" s="101"/>
      <c r="S1085" s="101"/>
      <c r="T1085" s="241"/>
      <c r="U1085" s="241"/>
      <c r="V1085" s="241"/>
      <c r="W1085" s="241"/>
      <c r="X1085" s="241"/>
      <c r="Y1085" s="241"/>
      <c r="Z1085" s="252"/>
    </row>
    <row r="1086" spans="3:26" ht="16.5">
      <c r="C1086" s="101"/>
      <c r="D1086" s="101"/>
      <c r="E1086" s="101"/>
      <c r="F1086" s="101"/>
      <c r="G1086" s="101"/>
      <c r="H1086" s="101"/>
      <c r="I1086" s="101"/>
      <c r="J1086" s="101"/>
      <c r="S1086" s="101"/>
      <c r="T1086" s="241"/>
      <c r="U1086" s="241"/>
      <c r="V1086" s="241"/>
      <c r="W1086" s="241"/>
      <c r="X1086" s="241"/>
      <c r="Y1086" s="241"/>
      <c r="Z1086" s="252"/>
    </row>
    <row r="1087" spans="3:26" ht="16.5">
      <c r="C1087" s="101"/>
      <c r="D1087" s="101"/>
      <c r="E1087" s="101"/>
      <c r="F1087" s="101"/>
      <c r="G1087" s="101"/>
      <c r="H1087" s="101"/>
      <c r="I1087" s="101"/>
      <c r="J1087" s="101"/>
      <c r="S1087" s="101"/>
      <c r="T1087" s="241"/>
      <c r="U1087" s="241"/>
      <c r="V1087" s="241"/>
      <c r="W1087" s="241"/>
      <c r="X1087" s="241"/>
      <c r="Y1087" s="241"/>
      <c r="Z1087" s="252"/>
    </row>
    <row r="1088" spans="3:26" ht="16.5">
      <c r="C1088" s="101"/>
      <c r="D1088" s="101"/>
      <c r="E1088" s="101"/>
      <c r="F1088" s="101"/>
      <c r="G1088" s="101"/>
      <c r="H1088" s="101"/>
      <c r="I1088" s="101"/>
      <c r="J1088" s="101"/>
      <c r="S1088" s="101"/>
      <c r="T1088" s="241"/>
      <c r="U1088" s="241"/>
      <c r="V1088" s="241"/>
      <c r="W1088" s="241"/>
      <c r="X1088" s="241"/>
      <c r="Y1088" s="241"/>
      <c r="Z1088" s="252"/>
    </row>
    <row r="1089" spans="3:26" ht="16.5">
      <c r="C1089" s="101"/>
      <c r="D1089" s="101"/>
      <c r="E1089" s="101"/>
      <c r="F1089" s="101"/>
      <c r="G1089" s="101"/>
      <c r="H1089" s="101"/>
      <c r="I1089" s="101"/>
      <c r="J1089" s="101"/>
      <c r="S1089" s="101"/>
      <c r="T1089" s="241"/>
      <c r="U1089" s="241"/>
      <c r="V1089" s="241"/>
      <c r="W1089" s="241"/>
      <c r="X1089" s="241"/>
      <c r="Y1089" s="241"/>
      <c r="Z1089" s="252"/>
    </row>
    <row r="1090" spans="3:26" ht="16.5">
      <c r="C1090" s="101"/>
      <c r="D1090" s="101"/>
      <c r="E1090" s="101"/>
      <c r="F1090" s="101"/>
      <c r="G1090" s="101"/>
      <c r="H1090" s="101"/>
      <c r="I1090" s="101"/>
      <c r="J1090" s="101"/>
      <c r="S1090" s="101"/>
      <c r="T1090" s="241"/>
      <c r="U1090" s="241"/>
      <c r="V1090" s="241"/>
      <c r="W1090" s="241"/>
      <c r="X1090" s="241"/>
      <c r="Y1090" s="241"/>
      <c r="Z1090" s="252"/>
    </row>
    <row r="1091" spans="3:26" ht="16.5">
      <c r="C1091" s="101"/>
      <c r="D1091" s="101"/>
      <c r="E1091" s="101"/>
      <c r="F1091" s="101"/>
      <c r="G1091" s="101"/>
      <c r="H1091" s="101"/>
      <c r="I1091" s="101"/>
      <c r="J1091" s="101"/>
      <c r="S1091" s="101"/>
      <c r="T1091" s="241"/>
      <c r="U1091" s="241"/>
      <c r="V1091" s="241"/>
      <c r="W1091" s="241"/>
      <c r="X1091" s="241"/>
      <c r="Y1091" s="241"/>
      <c r="Z1091" s="252"/>
    </row>
    <row r="1092" spans="3:26" ht="16.5">
      <c r="C1092" s="101"/>
      <c r="D1092" s="101"/>
      <c r="E1092" s="101"/>
      <c r="F1092" s="101"/>
      <c r="G1092" s="101"/>
      <c r="H1092" s="101"/>
      <c r="I1092" s="101"/>
      <c r="J1092" s="101"/>
      <c r="S1092" s="101"/>
      <c r="T1092" s="241"/>
      <c r="U1092" s="241"/>
      <c r="V1092" s="241"/>
      <c r="W1092" s="241"/>
      <c r="X1092" s="241"/>
      <c r="Y1092" s="241"/>
      <c r="Z1092" s="252"/>
    </row>
    <row r="1093" spans="3:26" ht="16.5">
      <c r="C1093" s="101"/>
      <c r="D1093" s="101"/>
      <c r="E1093" s="101"/>
      <c r="F1093" s="101"/>
      <c r="G1093" s="101"/>
      <c r="H1093" s="101"/>
      <c r="I1093" s="101"/>
      <c r="J1093" s="101"/>
      <c r="S1093" s="101"/>
      <c r="T1093" s="241"/>
      <c r="U1093" s="241"/>
      <c r="V1093" s="241"/>
      <c r="W1093" s="241"/>
      <c r="X1093" s="241"/>
      <c r="Y1093" s="241"/>
      <c r="Z1093" s="252"/>
    </row>
    <row r="1094" spans="3:26" ht="16.5">
      <c r="C1094" s="101"/>
      <c r="D1094" s="101"/>
      <c r="E1094" s="101"/>
      <c r="F1094" s="101"/>
      <c r="G1094" s="101"/>
      <c r="H1094" s="101"/>
      <c r="I1094" s="101"/>
      <c r="J1094" s="101"/>
      <c r="S1094" s="101"/>
      <c r="T1094" s="241"/>
      <c r="U1094" s="241"/>
      <c r="V1094" s="241"/>
      <c r="W1094" s="241"/>
      <c r="X1094" s="241"/>
      <c r="Y1094" s="241"/>
      <c r="Z1094" s="252"/>
    </row>
    <row r="1095" spans="3:26" ht="16.5">
      <c r="C1095" s="101"/>
      <c r="D1095" s="101"/>
      <c r="E1095" s="101"/>
      <c r="F1095" s="101"/>
      <c r="G1095" s="101"/>
      <c r="H1095" s="101"/>
      <c r="I1095" s="101"/>
      <c r="J1095" s="101"/>
      <c r="S1095" s="101"/>
      <c r="T1095" s="241"/>
      <c r="U1095" s="241"/>
      <c r="V1095" s="241"/>
      <c r="W1095" s="241"/>
      <c r="X1095" s="241"/>
      <c r="Y1095" s="241"/>
      <c r="Z1095" s="252"/>
    </row>
    <row r="1096" spans="3:26" ht="16.5">
      <c r="C1096" s="101"/>
      <c r="D1096" s="101"/>
      <c r="E1096" s="101"/>
      <c r="F1096" s="101"/>
      <c r="G1096" s="101"/>
      <c r="H1096" s="101"/>
      <c r="I1096" s="101"/>
      <c r="J1096" s="101"/>
      <c r="S1096" s="101"/>
      <c r="T1096" s="241"/>
      <c r="U1096" s="241"/>
      <c r="V1096" s="241"/>
      <c r="W1096" s="241"/>
      <c r="X1096" s="241"/>
      <c r="Y1096" s="241"/>
      <c r="Z1096" s="252"/>
    </row>
    <row r="1097" spans="3:26" ht="16.5">
      <c r="C1097" s="101"/>
      <c r="D1097" s="101"/>
      <c r="E1097" s="101"/>
      <c r="F1097" s="101"/>
      <c r="G1097" s="101"/>
      <c r="H1097" s="101"/>
      <c r="I1097" s="101"/>
      <c r="J1097" s="101"/>
      <c r="S1097" s="101"/>
      <c r="T1097" s="241"/>
      <c r="U1097" s="241"/>
      <c r="V1097" s="241"/>
      <c r="W1097" s="241"/>
      <c r="X1097" s="241"/>
      <c r="Y1097" s="241"/>
      <c r="Z1097" s="252"/>
    </row>
    <row r="1098" spans="3:26" ht="16.5">
      <c r="C1098" s="101"/>
      <c r="D1098" s="101"/>
      <c r="E1098" s="101"/>
      <c r="F1098" s="101"/>
      <c r="G1098" s="101"/>
      <c r="H1098" s="101"/>
      <c r="I1098" s="101"/>
      <c r="J1098" s="101"/>
      <c r="S1098" s="101"/>
      <c r="T1098" s="241"/>
      <c r="U1098" s="241"/>
      <c r="V1098" s="241"/>
      <c r="W1098" s="241"/>
      <c r="X1098" s="241"/>
      <c r="Y1098" s="241"/>
      <c r="Z1098" s="252"/>
    </row>
    <row r="1099" spans="3:26" ht="16.5">
      <c r="C1099" s="101"/>
      <c r="D1099" s="101"/>
      <c r="E1099" s="101"/>
      <c r="F1099" s="101"/>
      <c r="G1099" s="101"/>
      <c r="H1099" s="101"/>
      <c r="I1099" s="101"/>
      <c r="J1099" s="101"/>
      <c r="S1099" s="101"/>
      <c r="T1099" s="241"/>
      <c r="U1099" s="241"/>
      <c r="V1099" s="241"/>
      <c r="W1099" s="241"/>
      <c r="X1099" s="241"/>
      <c r="Y1099" s="241"/>
      <c r="Z1099" s="252"/>
    </row>
    <row r="1100" spans="3:26" ht="16.5">
      <c r="C1100" s="101"/>
      <c r="D1100" s="101"/>
      <c r="E1100" s="101"/>
      <c r="F1100" s="101"/>
      <c r="G1100" s="101"/>
      <c r="H1100" s="101"/>
      <c r="I1100" s="101"/>
      <c r="J1100" s="101"/>
      <c r="S1100" s="101"/>
      <c r="T1100" s="241"/>
      <c r="U1100" s="241"/>
      <c r="V1100" s="241"/>
      <c r="W1100" s="241"/>
      <c r="X1100" s="241"/>
      <c r="Y1100" s="241"/>
      <c r="Z1100" s="252"/>
    </row>
    <row r="1101" spans="3:26" ht="16.5">
      <c r="C1101" s="101"/>
      <c r="D1101" s="101"/>
      <c r="E1101" s="101"/>
      <c r="F1101" s="101"/>
      <c r="G1101" s="101"/>
      <c r="H1101" s="101"/>
      <c r="I1101" s="101"/>
      <c r="J1101" s="101"/>
      <c r="S1101" s="101"/>
      <c r="T1101" s="241"/>
      <c r="U1101" s="241"/>
      <c r="V1101" s="241"/>
      <c r="W1101" s="241"/>
      <c r="X1101" s="241"/>
      <c r="Y1101" s="241"/>
      <c r="Z1101" s="252"/>
    </row>
    <row r="1102" spans="3:26" ht="16.5">
      <c r="C1102" s="101"/>
      <c r="D1102" s="101"/>
      <c r="E1102" s="101"/>
      <c r="F1102" s="101"/>
      <c r="G1102" s="101"/>
      <c r="H1102" s="101"/>
      <c r="I1102" s="101"/>
      <c r="J1102" s="101"/>
      <c r="S1102" s="101"/>
      <c r="T1102" s="241"/>
      <c r="U1102" s="241"/>
      <c r="V1102" s="241"/>
      <c r="W1102" s="241"/>
      <c r="X1102" s="241"/>
      <c r="Y1102" s="241"/>
      <c r="Z1102" s="252"/>
    </row>
    <row r="1103" spans="3:26" ht="16.5">
      <c r="C1103" s="101"/>
      <c r="D1103" s="101"/>
      <c r="E1103" s="101"/>
      <c r="F1103" s="101"/>
      <c r="G1103" s="101"/>
      <c r="H1103" s="101"/>
      <c r="I1103" s="101"/>
      <c r="J1103" s="101"/>
      <c r="S1103" s="101"/>
      <c r="T1103" s="241"/>
      <c r="U1103" s="241"/>
      <c r="V1103" s="241"/>
      <c r="W1103" s="241"/>
      <c r="X1103" s="241"/>
      <c r="Y1103" s="241"/>
      <c r="Z1103" s="252"/>
    </row>
    <row r="1104" spans="3:26" ht="16.5">
      <c r="C1104" s="101"/>
      <c r="D1104" s="101"/>
      <c r="E1104" s="101"/>
      <c r="F1104" s="101"/>
      <c r="G1104" s="101"/>
      <c r="H1104" s="101"/>
      <c r="I1104" s="101"/>
      <c r="J1104" s="101"/>
      <c r="S1104" s="101"/>
      <c r="T1104" s="241"/>
      <c r="U1104" s="241"/>
      <c r="V1104" s="241"/>
      <c r="W1104" s="241"/>
      <c r="X1104" s="241"/>
      <c r="Y1104" s="241"/>
      <c r="Z1104" s="252"/>
    </row>
    <row r="1105" spans="3:26" ht="16.5">
      <c r="C1105" s="101"/>
      <c r="D1105" s="101"/>
      <c r="E1105" s="101"/>
      <c r="F1105" s="101"/>
      <c r="G1105" s="101"/>
      <c r="H1105" s="101"/>
      <c r="I1105" s="101"/>
      <c r="J1105" s="101"/>
      <c r="S1105" s="101"/>
      <c r="T1105" s="241"/>
      <c r="U1105" s="241"/>
      <c r="V1105" s="241"/>
      <c r="W1105" s="241"/>
      <c r="X1105" s="241"/>
      <c r="Y1105" s="241"/>
      <c r="Z1105" s="252"/>
    </row>
    <row r="1106" spans="3:26" ht="16.5">
      <c r="C1106" s="101"/>
      <c r="D1106" s="101"/>
      <c r="E1106" s="101"/>
      <c r="F1106" s="101"/>
      <c r="G1106" s="101"/>
      <c r="H1106" s="101"/>
      <c r="I1106" s="101"/>
      <c r="J1106" s="101"/>
      <c r="S1106" s="101"/>
      <c r="T1106" s="241"/>
      <c r="U1106" s="241"/>
      <c r="V1106" s="241"/>
      <c r="W1106" s="241"/>
      <c r="X1106" s="241"/>
      <c r="Y1106" s="241"/>
      <c r="Z1106" s="252"/>
    </row>
    <row r="1107" spans="3:26" ht="16.5">
      <c r="C1107" s="101"/>
      <c r="D1107" s="101"/>
      <c r="E1107" s="101"/>
      <c r="F1107" s="101"/>
      <c r="G1107" s="101"/>
      <c r="H1107" s="101"/>
      <c r="I1107" s="101"/>
      <c r="J1107" s="101"/>
      <c r="S1107" s="101"/>
      <c r="T1107" s="241"/>
      <c r="U1107" s="241"/>
      <c r="V1107" s="241"/>
      <c r="W1107" s="241"/>
      <c r="X1107" s="241"/>
      <c r="Y1107" s="241"/>
      <c r="Z1107" s="252"/>
    </row>
    <row r="1108" spans="3:26" ht="16.5">
      <c r="C1108" s="101"/>
      <c r="D1108" s="101"/>
      <c r="E1108" s="101"/>
      <c r="F1108" s="101"/>
      <c r="G1108" s="101"/>
      <c r="H1108" s="101"/>
      <c r="I1108" s="101"/>
      <c r="J1108" s="101"/>
      <c r="S1108" s="101"/>
      <c r="T1108" s="241"/>
      <c r="U1108" s="241"/>
      <c r="V1108" s="241"/>
      <c r="W1108" s="241"/>
      <c r="X1108" s="241"/>
      <c r="Y1108" s="241"/>
      <c r="Z1108" s="252"/>
    </row>
    <row r="1109" spans="3:26" ht="16.5">
      <c r="C1109" s="101"/>
      <c r="D1109" s="101"/>
      <c r="E1109" s="101"/>
      <c r="F1109" s="101"/>
      <c r="G1109" s="101"/>
      <c r="H1109" s="101"/>
      <c r="I1109" s="101"/>
      <c r="J1109" s="101"/>
      <c r="S1109" s="101"/>
      <c r="T1109" s="241"/>
      <c r="U1109" s="241"/>
      <c r="V1109" s="241"/>
      <c r="W1109" s="241"/>
      <c r="X1109" s="241"/>
      <c r="Y1109" s="241"/>
      <c r="Z1109" s="252"/>
    </row>
    <row r="1110" spans="3:26" ht="16.5">
      <c r="C1110" s="101"/>
      <c r="D1110" s="101"/>
      <c r="E1110" s="101"/>
      <c r="F1110" s="101"/>
      <c r="G1110" s="101"/>
      <c r="H1110" s="101"/>
      <c r="I1110" s="101"/>
      <c r="J1110" s="101"/>
      <c r="S1110" s="101"/>
      <c r="T1110" s="241"/>
      <c r="U1110" s="241"/>
      <c r="V1110" s="241"/>
      <c r="W1110" s="241"/>
      <c r="X1110" s="241"/>
      <c r="Y1110" s="241"/>
      <c r="Z1110" s="252"/>
    </row>
    <row r="1111" spans="3:26" ht="16.5">
      <c r="C1111" s="101"/>
      <c r="D1111" s="101"/>
      <c r="E1111" s="101"/>
      <c r="F1111" s="101"/>
      <c r="G1111" s="101"/>
      <c r="H1111" s="101"/>
      <c r="I1111" s="101"/>
      <c r="J1111" s="101"/>
      <c r="S1111" s="101"/>
      <c r="T1111" s="241"/>
      <c r="U1111" s="241"/>
      <c r="V1111" s="241"/>
      <c r="W1111" s="241"/>
      <c r="X1111" s="241"/>
      <c r="Y1111" s="241"/>
      <c r="Z1111" s="252"/>
    </row>
    <row r="1112" spans="3:26" ht="16.5">
      <c r="C1112" s="101"/>
      <c r="D1112" s="101"/>
      <c r="E1112" s="101"/>
      <c r="F1112" s="101"/>
      <c r="G1112" s="101"/>
      <c r="H1112" s="101"/>
      <c r="I1112" s="101"/>
      <c r="J1112" s="101"/>
      <c r="S1112" s="101"/>
      <c r="T1112" s="241"/>
      <c r="U1112" s="241"/>
      <c r="V1112" s="241"/>
      <c r="W1112" s="241"/>
      <c r="X1112" s="241"/>
      <c r="Y1112" s="241"/>
      <c r="Z1112" s="252"/>
    </row>
    <row r="1113" spans="3:26" ht="16.5">
      <c r="C1113" s="101"/>
      <c r="D1113" s="101"/>
      <c r="E1113" s="101"/>
      <c r="F1113" s="101"/>
      <c r="G1113" s="101"/>
      <c r="H1113" s="101"/>
      <c r="I1113" s="101"/>
      <c r="J1113" s="101"/>
      <c r="S1113" s="101"/>
      <c r="T1113" s="241"/>
      <c r="U1113" s="241"/>
      <c r="V1113" s="241"/>
      <c r="W1113" s="241"/>
      <c r="X1113" s="241"/>
      <c r="Y1113" s="241"/>
      <c r="Z1113" s="252"/>
    </row>
    <row r="1114" spans="3:26" ht="16.5">
      <c r="C1114" s="101"/>
      <c r="D1114" s="101"/>
      <c r="E1114" s="101"/>
      <c r="F1114" s="101"/>
      <c r="G1114" s="101"/>
      <c r="H1114" s="101"/>
      <c r="I1114" s="101"/>
      <c r="J1114" s="101"/>
      <c r="S1114" s="101"/>
      <c r="T1114" s="241"/>
      <c r="U1114" s="241"/>
      <c r="V1114" s="241"/>
      <c r="W1114" s="241"/>
      <c r="X1114" s="241"/>
      <c r="Y1114" s="241"/>
      <c r="Z1114" s="252"/>
    </row>
    <row r="1115" spans="3:26" ht="16.5">
      <c r="C1115" s="101"/>
      <c r="D1115" s="101"/>
      <c r="E1115" s="101"/>
      <c r="F1115" s="101"/>
      <c r="G1115" s="101"/>
      <c r="H1115" s="101"/>
      <c r="I1115" s="101"/>
      <c r="J1115" s="101"/>
      <c r="S1115" s="101"/>
      <c r="T1115" s="241"/>
      <c r="U1115" s="241"/>
      <c r="V1115" s="241"/>
      <c r="W1115" s="241"/>
      <c r="X1115" s="241"/>
      <c r="Y1115" s="241"/>
      <c r="Z1115" s="252"/>
    </row>
    <row r="1116" spans="3:26" ht="16.5">
      <c r="C1116" s="101"/>
      <c r="D1116" s="101"/>
      <c r="E1116" s="101"/>
      <c r="F1116" s="101"/>
      <c r="G1116" s="101"/>
      <c r="H1116" s="101"/>
      <c r="I1116" s="101"/>
      <c r="J1116" s="101"/>
      <c r="S1116" s="101"/>
      <c r="T1116" s="241"/>
      <c r="U1116" s="241"/>
      <c r="V1116" s="241"/>
      <c r="W1116" s="241"/>
      <c r="X1116" s="241"/>
      <c r="Y1116" s="241"/>
      <c r="Z1116" s="252"/>
    </row>
    <row r="1117" spans="3:26" ht="16.5">
      <c r="C1117" s="101"/>
      <c r="D1117" s="101"/>
      <c r="E1117" s="101"/>
      <c r="F1117" s="101"/>
      <c r="G1117" s="101"/>
      <c r="H1117" s="101"/>
      <c r="I1117" s="101"/>
      <c r="J1117" s="101"/>
      <c r="S1117" s="101"/>
      <c r="T1117" s="241"/>
      <c r="U1117" s="241"/>
      <c r="V1117" s="241"/>
      <c r="W1117" s="241"/>
      <c r="X1117" s="241"/>
      <c r="Y1117" s="241"/>
      <c r="Z1117" s="252"/>
    </row>
    <row r="1118" spans="3:26" ht="16.5">
      <c r="C1118" s="101"/>
      <c r="D1118" s="101"/>
      <c r="E1118" s="101"/>
      <c r="F1118" s="101"/>
      <c r="G1118" s="101"/>
      <c r="H1118" s="101"/>
      <c r="I1118" s="101"/>
      <c r="J1118" s="101"/>
      <c r="S1118" s="101"/>
      <c r="T1118" s="241"/>
      <c r="U1118" s="241"/>
      <c r="V1118" s="241"/>
      <c r="W1118" s="241"/>
      <c r="X1118" s="241"/>
      <c r="Y1118" s="241"/>
      <c r="Z1118" s="252"/>
    </row>
    <row r="1119" spans="3:26" ht="16.5">
      <c r="C1119" s="101"/>
      <c r="D1119" s="101"/>
      <c r="E1119" s="101"/>
      <c r="F1119" s="101"/>
      <c r="G1119" s="101"/>
      <c r="H1119" s="101"/>
      <c r="I1119" s="101"/>
      <c r="J1119" s="101"/>
      <c r="S1119" s="101"/>
      <c r="T1119" s="241"/>
      <c r="U1119" s="241"/>
      <c r="V1119" s="241"/>
      <c r="W1119" s="241"/>
      <c r="X1119" s="241"/>
      <c r="Y1119" s="241"/>
      <c r="Z1119" s="252"/>
    </row>
    <row r="1120" spans="3:26" ht="16.5">
      <c r="C1120" s="101"/>
      <c r="D1120" s="101"/>
      <c r="E1120" s="101"/>
      <c r="F1120" s="101"/>
      <c r="G1120" s="101"/>
      <c r="H1120" s="101"/>
      <c r="I1120" s="101"/>
      <c r="J1120" s="101"/>
      <c r="S1120" s="101"/>
      <c r="T1120" s="241"/>
      <c r="U1120" s="241"/>
      <c r="V1120" s="241"/>
      <c r="W1120" s="241"/>
      <c r="X1120" s="241"/>
      <c r="Y1120" s="241"/>
      <c r="Z1120" s="252"/>
    </row>
    <row r="1121" spans="3:26" ht="16.5">
      <c r="C1121" s="101"/>
      <c r="D1121" s="101"/>
      <c r="E1121" s="101"/>
      <c r="F1121" s="101"/>
      <c r="G1121" s="101"/>
      <c r="H1121" s="101"/>
      <c r="I1121" s="101"/>
      <c r="J1121" s="101"/>
      <c r="S1121" s="101"/>
      <c r="T1121" s="241"/>
      <c r="U1121" s="241"/>
      <c r="V1121" s="241"/>
      <c r="W1121" s="241"/>
      <c r="X1121" s="241"/>
      <c r="Y1121" s="241"/>
      <c r="Z1121" s="252"/>
    </row>
    <row r="1122" spans="3:26" ht="16.5">
      <c r="C1122" s="101"/>
      <c r="D1122" s="101"/>
      <c r="E1122" s="101"/>
      <c r="F1122" s="101"/>
      <c r="G1122" s="101"/>
      <c r="H1122" s="101"/>
      <c r="I1122" s="101"/>
      <c r="J1122" s="101"/>
      <c r="S1122" s="101"/>
      <c r="T1122" s="241"/>
      <c r="U1122" s="241"/>
      <c r="V1122" s="241"/>
      <c r="W1122" s="241"/>
      <c r="X1122" s="241"/>
      <c r="Y1122" s="241"/>
      <c r="Z1122" s="252"/>
    </row>
    <row r="1123" spans="3:26" ht="16.5">
      <c r="C1123" s="101"/>
      <c r="D1123" s="101"/>
      <c r="E1123" s="101"/>
      <c r="F1123" s="101"/>
      <c r="G1123" s="101"/>
      <c r="H1123" s="101"/>
      <c r="I1123" s="101"/>
      <c r="J1123" s="101"/>
      <c r="S1123" s="101"/>
      <c r="T1123" s="241"/>
      <c r="U1123" s="241"/>
      <c r="V1123" s="241"/>
      <c r="W1123" s="241"/>
      <c r="X1123" s="241"/>
      <c r="Y1123" s="241"/>
      <c r="Z1123" s="252"/>
    </row>
    <row r="1124" spans="3:26" ht="16.5">
      <c r="C1124" s="101"/>
      <c r="D1124" s="101"/>
      <c r="E1124" s="101"/>
      <c r="F1124" s="101"/>
      <c r="G1124" s="101"/>
      <c r="H1124" s="101"/>
      <c r="I1124" s="101"/>
      <c r="J1124" s="101"/>
      <c r="S1124" s="101"/>
      <c r="T1124" s="241"/>
      <c r="U1124" s="241"/>
      <c r="V1124" s="241"/>
      <c r="W1124" s="241"/>
      <c r="X1124" s="241"/>
      <c r="Y1124" s="241"/>
      <c r="Z1124" s="252"/>
    </row>
    <row r="1125" spans="3:26" ht="16.5">
      <c r="C1125" s="101"/>
      <c r="D1125" s="101"/>
      <c r="E1125" s="101"/>
      <c r="F1125" s="101"/>
      <c r="G1125" s="101"/>
      <c r="H1125" s="101"/>
      <c r="I1125" s="101"/>
      <c r="J1125" s="101"/>
      <c r="S1125" s="101"/>
      <c r="T1125" s="241"/>
      <c r="U1125" s="241"/>
      <c r="V1125" s="241"/>
      <c r="W1125" s="241"/>
      <c r="X1125" s="241"/>
      <c r="Y1125" s="241"/>
      <c r="Z1125" s="252"/>
    </row>
    <row r="1126" spans="3:26" ht="16.5">
      <c r="C1126" s="101"/>
      <c r="D1126" s="101"/>
      <c r="E1126" s="101"/>
      <c r="F1126" s="101"/>
      <c r="G1126" s="101"/>
      <c r="H1126" s="101"/>
      <c r="I1126" s="101"/>
      <c r="J1126" s="101"/>
      <c r="S1126" s="101"/>
      <c r="T1126" s="241"/>
      <c r="U1126" s="241"/>
      <c r="V1126" s="241"/>
      <c r="W1126" s="241"/>
      <c r="X1126" s="241"/>
      <c r="Y1126" s="241"/>
      <c r="Z1126" s="252"/>
    </row>
    <row r="1127" spans="3:26" ht="16.5">
      <c r="C1127" s="101"/>
      <c r="D1127" s="101"/>
      <c r="E1127" s="101"/>
      <c r="F1127" s="101"/>
      <c r="G1127" s="101"/>
      <c r="H1127" s="101"/>
      <c r="I1127" s="101"/>
      <c r="J1127" s="101"/>
      <c r="S1127" s="101"/>
      <c r="T1127" s="241"/>
      <c r="U1127" s="241"/>
      <c r="V1127" s="241"/>
      <c r="W1127" s="241"/>
      <c r="X1127" s="241"/>
      <c r="Y1127" s="241"/>
      <c r="Z1127" s="252"/>
    </row>
    <row r="1128" spans="3:26" ht="16.5">
      <c r="C1128" s="101"/>
      <c r="D1128" s="101"/>
      <c r="E1128" s="101"/>
      <c r="F1128" s="101"/>
      <c r="G1128" s="101"/>
      <c r="H1128" s="101"/>
      <c r="I1128" s="101"/>
      <c r="J1128" s="101"/>
      <c r="S1128" s="101"/>
      <c r="T1128" s="241"/>
      <c r="U1128" s="241"/>
      <c r="V1128" s="241"/>
      <c r="W1128" s="241"/>
      <c r="X1128" s="241"/>
      <c r="Y1128" s="241"/>
      <c r="Z1128" s="252"/>
    </row>
    <row r="1129" spans="3:26" ht="16.5">
      <c r="C1129" s="101"/>
      <c r="D1129" s="101"/>
      <c r="E1129" s="101"/>
      <c r="F1129" s="101"/>
      <c r="G1129" s="101"/>
      <c r="H1129" s="101"/>
      <c r="I1129" s="101"/>
      <c r="J1129" s="101"/>
      <c r="S1129" s="101"/>
      <c r="T1129" s="241"/>
      <c r="U1129" s="241"/>
      <c r="V1129" s="241"/>
      <c r="W1129" s="241"/>
      <c r="X1129" s="241"/>
      <c r="Y1129" s="241"/>
      <c r="Z1129" s="252"/>
    </row>
    <row r="1130" spans="3:26" ht="16.5">
      <c r="C1130" s="101"/>
      <c r="D1130" s="101"/>
      <c r="E1130" s="101"/>
      <c r="F1130" s="101"/>
      <c r="G1130" s="101"/>
      <c r="H1130" s="101"/>
      <c r="I1130" s="101"/>
      <c r="J1130" s="101"/>
      <c r="S1130" s="101"/>
      <c r="T1130" s="241"/>
      <c r="U1130" s="241"/>
      <c r="V1130" s="241"/>
      <c r="W1130" s="241"/>
      <c r="X1130" s="241"/>
      <c r="Y1130" s="241"/>
      <c r="Z1130" s="252"/>
    </row>
    <row r="1131" spans="3:26" ht="16.5">
      <c r="C1131" s="101"/>
      <c r="D1131" s="101"/>
      <c r="E1131" s="101"/>
      <c r="F1131" s="101"/>
      <c r="G1131" s="101"/>
      <c r="H1131" s="101"/>
      <c r="I1131" s="101"/>
      <c r="J1131" s="101"/>
      <c r="S1131" s="101"/>
      <c r="T1131" s="241"/>
      <c r="U1131" s="241"/>
      <c r="V1131" s="241"/>
      <c r="W1131" s="241"/>
      <c r="X1131" s="241"/>
      <c r="Y1131" s="241"/>
      <c r="Z1131" s="252"/>
    </row>
    <row r="1132" spans="3:26" ht="16.5">
      <c r="C1132" s="101"/>
      <c r="D1132" s="101"/>
      <c r="E1132" s="101"/>
      <c r="F1132" s="101"/>
      <c r="G1132" s="101"/>
      <c r="H1132" s="101"/>
      <c r="I1132" s="101"/>
      <c r="J1132" s="101"/>
      <c r="S1132" s="101"/>
      <c r="T1132" s="241"/>
      <c r="U1132" s="241"/>
      <c r="V1132" s="241"/>
      <c r="W1132" s="241"/>
      <c r="X1132" s="241"/>
      <c r="Y1132" s="241"/>
      <c r="Z1132" s="252"/>
    </row>
    <row r="1133" spans="3:26" ht="16.5">
      <c r="C1133" s="101"/>
      <c r="D1133" s="101"/>
      <c r="E1133" s="101"/>
      <c r="F1133" s="101"/>
      <c r="G1133" s="101"/>
      <c r="H1133" s="101"/>
      <c r="I1133" s="101"/>
      <c r="J1133" s="101"/>
      <c r="S1133" s="101"/>
      <c r="T1133" s="241"/>
      <c r="U1133" s="241"/>
      <c r="V1133" s="241"/>
      <c r="W1133" s="241"/>
      <c r="X1133" s="241"/>
      <c r="Y1133" s="241"/>
      <c r="Z1133" s="252"/>
    </row>
    <row r="1134" spans="3:26" ht="16.5">
      <c r="C1134" s="101"/>
      <c r="D1134" s="101"/>
      <c r="E1134" s="101"/>
      <c r="F1134" s="101"/>
      <c r="G1134" s="101"/>
      <c r="H1134" s="101"/>
      <c r="I1134" s="101"/>
      <c r="J1134" s="101"/>
      <c r="S1134" s="101"/>
      <c r="T1134" s="241"/>
      <c r="U1134" s="241"/>
      <c r="V1134" s="241"/>
      <c r="W1134" s="241"/>
      <c r="X1134" s="241"/>
      <c r="Y1134" s="241"/>
      <c r="Z1134" s="252"/>
    </row>
    <row r="1135" spans="3:26" ht="16.5">
      <c r="C1135" s="101"/>
      <c r="D1135" s="101"/>
      <c r="E1135" s="101"/>
      <c r="F1135" s="101"/>
      <c r="G1135" s="101"/>
      <c r="H1135" s="101"/>
      <c r="I1135" s="101"/>
      <c r="J1135" s="101"/>
      <c r="S1135" s="101"/>
      <c r="T1135" s="241"/>
      <c r="U1135" s="241"/>
      <c r="V1135" s="241"/>
      <c r="W1135" s="241"/>
      <c r="X1135" s="241"/>
      <c r="Y1135" s="241"/>
      <c r="Z1135" s="252"/>
    </row>
    <row r="1136" spans="3:26" ht="16.5">
      <c r="C1136" s="101"/>
      <c r="D1136" s="101"/>
      <c r="E1136" s="101"/>
      <c r="F1136" s="101"/>
      <c r="G1136" s="101"/>
      <c r="H1136" s="101"/>
      <c r="I1136" s="101"/>
      <c r="J1136" s="101"/>
      <c r="S1136" s="101"/>
      <c r="T1136" s="241"/>
      <c r="U1136" s="241"/>
      <c r="V1136" s="241"/>
      <c r="W1136" s="241"/>
      <c r="X1136" s="241"/>
      <c r="Y1136" s="241"/>
      <c r="Z1136" s="252"/>
    </row>
    <row r="1137" spans="3:26" ht="16.5">
      <c r="C1137" s="101"/>
      <c r="D1137" s="101"/>
      <c r="E1137" s="101"/>
      <c r="F1137" s="101"/>
      <c r="G1137" s="101"/>
      <c r="H1137" s="101"/>
      <c r="I1137" s="101"/>
      <c r="J1137" s="101"/>
      <c r="S1137" s="101"/>
      <c r="T1137" s="241"/>
      <c r="U1137" s="241"/>
      <c r="V1137" s="241"/>
      <c r="W1137" s="241"/>
      <c r="X1137" s="241"/>
      <c r="Y1137" s="241"/>
      <c r="Z1137" s="252"/>
    </row>
    <row r="1138" spans="3:26" ht="16.5">
      <c r="C1138" s="101"/>
      <c r="D1138" s="101"/>
      <c r="E1138" s="101"/>
      <c r="F1138" s="101"/>
      <c r="G1138" s="101"/>
      <c r="H1138" s="101"/>
      <c r="I1138" s="101"/>
      <c r="J1138" s="101"/>
      <c r="S1138" s="101"/>
      <c r="T1138" s="241"/>
      <c r="U1138" s="241"/>
      <c r="V1138" s="241"/>
      <c r="W1138" s="241"/>
      <c r="X1138" s="241"/>
      <c r="Y1138" s="241"/>
      <c r="Z1138" s="252"/>
    </row>
    <row r="1139" spans="3:26" ht="16.5">
      <c r="C1139" s="101"/>
      <c r="D1139" s="101"/>
      <c r="E1139" s="101"/>
      <c r="F1139" s="101"/>
      <c r="G1139" s="101"/>
      <c r="H1139" s="101"/>
      <c r="I1139" s="101"/>
      <c r="J1139" s="101"/>
      <c r="S1139" s="101"/>
      <c r="T1139" s="241"/>
      <c r="U1139" s="241"/>
      <c r="V1139" s="241"/>
      <c r="W1139" s="241"/>
      <c r="X1139" s="241"/>
      <c r="Y1139" s="241"/>
      <c r="Z1139" s="252"/>
    </row>
    <row r="1140" spans="3:26" ht="16.5">
      <c r="C1140" s="101"/>
      <c r="D1140" s="101"/>
      <c r="E1140" s="101"/>
      <c r="F1140" s="101"/>
      <c r="G1140" s="101"/>
      <c r="H1140" s="101"/>
      <c r="I1140" s="101"/>
      <c r="J1140" s="101"/>
      <c r="S1140" s="101"/>
      <c r="T1140" s="241"/>
      <c r="U1140" s="241"/>
      <c r="V1140" s="241"/>
      <c r="W1140" s="241"/>
      <c r="X1140" s="241"/>
      <c r="Y1140" s="241"/>
      <c r="Z1140" s="252"/>
    </row>
    <row r="1141" spans="3:26" ht="16.5">
      <c r="C1141" s="101"/>
      <c r="D1141" s="101"/>
      <c r="E1141" s="101"/>
      <c r="F1141" s="101"/>
      <c r="G1141" s="101"/>
      <c r="H1141" s="101"/>
      <c r="I1141" s="101"/>
      <c r="J1141" s="101"/>
      <c r="S1141" s="101"/>
      <c r="T1141" s="241"/>
      <c r="U1141" s="241"/>
      <c r="V1141" s="241"/>
      <c r="W1141" s="241"/>
      <c r="X1141" s="241"/>
      <c r="Y1141" s="241"/>
      <c r="Z1141" s="252"/>
    </row>
    <row r="1142" spans="3:26" ht="16.5">
      <c r="C1142" s="101"/>
      <c r="D1142" s="101"/>
      <c r="E1142" s="101"/>
      <c r="F1142" s="101"/>
      <c r="G1142" s="101"/>
      <c r="H1142" s="101"/>
      <c r="I1142" s="101"/>
      <c r="J1142" s="101"/>
      <c r="S1142" s="101"/>
      <c r="T1142" s="241"/>
      <c r="U1142" s="241"/>
      <c r="V1142" s="241"/>
      <c r="W1142" s="241"/>
      <c r="X1142" s="241"/>
      <c r="Y1142" s="241"/>
      <c r="Z1142" s="252"/>
    </row>
    <row r="1143" spans="3:26" ht="16.5">
      <c r="C1143" s="101"/>
      <c r="D1143" s="101"/>
      <c r="E1143" s="101"/>
      <c r="F1143" s="101"/>
      <c r="G1143" s="101"/>
      <c r="H1143" s="101"/>
      <c r="I1143" s="101"/>
      <c r="J1143" s="101"/>
      <c r="S1143" s="101"/>
      <c r="T1143" s="241"/>
      <c r="U1143" s="241"/>
      <c r="V1143" s="241"/>
      <c r="W1143" s="241"/>
      <c r="X1143" s="241"/>
      <c r="Y1143" s="241"/>
      <c r="Z1143" s="252"/>
    </row>
    <row r="1144" spans="3:26" ht="16.5">
      <c r="C1144" s="101"/>
      <c r="D1144" s="101"/>
      <c r="E1144" s="101"/>
      <c r="F1144" s="101"/>
      <c r="G1144" s="101"/>
      <c r="H1144" s="101"/>
      <c r="I1144" s="101"/>
      <c r="J1144" s="101"/>
      <c r="S1144" s="101"/>
      <c r="T1144" s="241"/>
      <c r="U1144" s="241"/>
      <c r="V1144" s="241"/>
      <c r="W1144" s="241"/>
      <c r="X1144" s="241"/>
      <c r="Y1144" s="241"/>
      <c r="Z1144" s="252"/>
    </row>
    <row r="1145" spans="3:26" ht="16.5">
      <c r="C1145" s="101"/>
      <c r="D1145" s="101"/>
      <c r="E1145" s="101"/>
      <c r="F1145" s="101"/>
      <c r="G1145" s="101"/>
      <c r="H1145" s="101"/>
      <c r="I1145" s="101"/>
      <c r="J1145" s="101"/>
      <c r="S1145" s="101"/>
      <c r="T1145" s="241"/>
      <c r="U1145" s="241"/>
      <c r="V1145" s="241"/>
      <c r="W1145" s="241"/>
      <c r="X1145" s="241"/>
      <c r="Y1145" s="241"/>
      <c r="Z1145" s="252"/>
    </row>
    <row r="1146" spans="3:26" ht="16.5">
      <c r="C1146" s="101"/>
      <c r="D1146" s="101"/>
      <c r="E1146" s="101"/>
      <c r="F1146" s="101"/>
      <c r="G1146" s="101"/>
      <c r="H1146" s="101"/>
      <c r="I1146" s="101"/>
      <c r="J1146" s="101"/>
      <c r="S1146" s="101"/>
      <c r="T1146" s="241"/>
      <c r="U1146" s="241"/>
      <c r="V1146" s="241"/>
      <c r="W1146" s="241"/>
      <c r="X1146" s="241"/>
      <c r="Y1146" s="241"/>
      <c r="Z1146" s="252"/>
    </row>
    <row r="1147" spans="3:26" ht="16.5">
      <c r="C1147" s="101"/>
      <c r="D1147" s="101"/>
      <c r="E1147" s="101"/>
      <c r="F1147" s="101"/>
      <c r="G1147" s="101"/>
      <c r="H1147" s="101"/>
      <c r="I1147" s="101"/>
      <c r="J1147" s="101"/>
      <c r="S1147" s="101"/>
      <c r="T1147" s="241"/>
      <c r="U1147" s="241"/>
      <c r="V1147" s="241"/>
      <c r="W1147" s="241"/>
      <c r="X1147" s="241"/>
      <c r="Y1147" s="241"/>
      <c r="Z1147" s="252"/>
    </row>
    <row r="1148" spans="3:26" ht="16.5">
      <c r="C1148" s="101"/>
      <c r="D1148" s="101"/>
      <c r="E1148" s="101"/>
      <c r="F1148" s="101"/>
      <c r="G1148" s="101"/>
      <c r="H1148" s="101"/>
      <c r="I1148" s="101"/>
      <c r="J1148" s="101"/>
      <c r="S1148" s="101"/>
      <c r="T1148" s="241"/>
      <c r="U1148" s="241"/>
      <c r="V1148" s="241"/>
      <c r="W1148" s="241"/>
      <c r="X1148" s="241"/>
      <c r="Y1148" s="241"/>
      <c r="Z1148" s="252"/>
    </row>
    <row r="1149" spans="3:26" ht="16.5">
      <c r="C1149" s="101"/>
      <c r="D1149" s="101"/>
      <c r="E1149" s="101"/>
      <c r="F1149" s="101"/>
      <c r="G1149" s="101"/>
      <c r="H1149" s="101"/>
      <c r="I1149" s="101"/>
      <c r="J1149" s="101"/>
      <c r="S1149" s="101"/>
      <c r="T1149" s="241"/>
      <c r="U1149" s="241"/>
      <c r="V1149" s="241"/>
      <c r="W1149" s="241"/>
      <c r="X1149" s="241"/>
      <c r="Y1149" s="241"/>
      <c r="Z1149" s="252"/>
    </row>
    <row r="1150" spans="3:26" ht="16.5">
      <c r="C1150" s="101"/>
      <c r="D1150" s="101"/>
      <c r="E1150" s="101"/>
      <c r="F1150" s="101"/>
      <c r="G1150" s="101"/>
      <c r="H1150" s="101"/>
      <c r="I1150" s="101"/>
      <c r="J1150" s="101"/>
      <c r="S1150" s="101"/>
      <c r="T1150" s="241"/>
      <c r="U1150" s="241"/>
      <c r="V1150" s="241"/>
      <c r="W1150" s="241"/>
      <c r="X1150" s="241"/>
      <c r="Y1150" s="241"/>
      <c r="Z1150" s="252"/>
    </row>
    <row r="1151" spans="3:26" ht="16.5">
      <c r="C1151" s="101"/>
      <c r="D1151" s="101"/>
      <c r="E1151" s="101"/>
      <c r="F1151" s="101"/>
      <c r="G1151" s="101"/>
      <c r="H1151" s="101"/>
      <c r="I1151" s="101"/>
      <c r="J1151" s="101"/>
      <c r="S1151" s="101"/>
      <c r="T1151" s="241"/>
      <c r="U1151" s="241"/>
      <c r="V1151" s="241"/>
      <c r="W1151" s="241"/>
      <c r="X1151" s="241"/>
      <c r="Y1151" s="241"/>
      <c r="Z1151" s="252"/>
    </row>
    <row r="1152" spans="3:26" ht="16.5">
      <c r="C1152" s="101"/>
      <c r="D1152" s="101"/>
      <c r="E1152" s="101"/>
      <c r="F1152" s="101"/>
      <c r="G1152" s="101"/>
      <c r="H1152" s="101"/>
      <c r="I1152" s="101"/>
      <c r="J1152" s="101"/>
      <c r="S1152" s="101"/>
      <c r="T1152" s="241"/>
      <c r="U1152" s="241"/>
      <c r="V1152" s="241"/>
      <c r="W1152" s="241"/>
      <c r="X1152" s="241"/>
      <c r="Y1152" s="241"/>
      <c r="Z1152" s="252"/>
    </row>
    <row r="1153" spans="3:26" ht="16.5">
      <c r="C1153" s="101"/>
      <c r="D1153" s="101"/>
      <c r="E1153" s="101"/>
      <c r="F1153" s="101"/>
      <c r="G1153" s="101"/>
      <c r="H1153" s="101"/>
      <c r="I1153" s="101"/>
      <c r="J1153" s="101"/>
      <c r="S1153" s="101"/>
      <c r="T1153" s="241"/>
      <c r="U1153" s="241"/>
      <c r="V1153" s="241"/>
      <c r="W1153" s="241"/>
      <c r="X1153" s="241"/>
      <c r="Y1153" s="241"/>
      <c r="Z1153" s="252"/>
    </row>
    <row r="1154" spans="3:26" ht="16.5">
      <c r="C1154" s="101"/>
      <c r="D1154" s="101"/>
      <c r="E1154" s="101"/>
      <c r="F1154" s="101"/>
      <c r="G1154" s="101"/>
      <c r="H1154" s="101"/>
      <c r="I1154" s="101"/>
      <c r="J1154" s="101"/>
      <c r="S1154" s="101"/>
      <c r="T1154" s="241"/>
      <c r="U1154" s="241"/>
      <c r="V1154" s="241"/>
      <c r="W1154" s="241"/>
      <c r="X1154" s="241"/>
      <c r="Y1154" s="241"/>
      <c r="Z1154" s="252"/>
    </row>
    <row r="1155" spans="3:26" ht="16.5">
      <c r="C1155" s="101"/>
      <c r="D1155" s="101"/>
      <c r="E1155" s="101"/>
      <c r="F1155" s="101"/>
      <c r="G1155" s="101"/>
      <c r="H1155" s="101"/>
      <c r="I1155" s="101"/>
      <c r="J1155" s="101"/>
      <c r="S1155" s="101"/>
      <c r="T1155" s="241"/>
      <c r="U1155" s="241"/>
      <c r="V1155" s="241"/>
      <c r="W1155" s="241"/>
      <c r="X1155" s="241"/>
      <c r="Y1155" s="241"/>
      <c r="Z1155" s="252"/>
    </row>
    <row r="1156" spans="3:26" ht="16.5">
      <c r="C1156" s="101"/>
      <c r="D1156" s="101"/>
      <c r="E1156" s="101"/>
      <c r="F1156" s="101"/>
      <c r="G1156" s="101"/>
      <c r="H1156" s="101"/>
      <c r="I1156" s="101"/>
      <c r="J1156" s="101"/>
      <c r="S1156" s="101"/>
      <c r="T1156" s="241"/>
      <c r="U1156" s="241"/>
      <c r="V1156" s="241"/>
      <c r="W1156" s="241"/>
      <c r="X1156" s="241"/>
      <c r="Y1156" s="241"/>
      <c r="Z1156" s="252"/>
    </row>
    <row r="1157" spans="3:26" ht="16.5">
      <c r="C1157" s="101"/>
      <c r="D1157" s="101"/>
      <c r="E1157" s="101"/>
      <c r="F1157" s="101"/>
      <c r="G1157" s="101"/>
      <c r="H1157" s="101"/>
      <c r="I1157" s="101"/>
      <c r="J1157" s="101"/>
      <c r="S1157" s="101"/>
      <c r="T1157" s="241"/>
      <c r="U1157" s="241"/>
      <c r="V1157" s="241"/>
      <c r="W1157" s="241"/>
      <c r="X1157" s="241"/>
      <c r="Y1157" s="241"/>
      <c r="Z1157" s="252"/>
    </row>
    <row r="1158" spans="3:26" ht="16.5">
      <c r="C1158" s="101"/>
      <c r="D1158" s="101"/>
      <c r="E1158" s="101"/>
      <c r="F1158" s="101"/>
      <c r="G1158" s="101"/>
      <c r="H1158" s="101"/>
      <c r="I1158" s="101"/>
      <c r="J1158" s="101"/>
      <c r="S1158" s="101"/>
      <c r="T1158" s="241"/>
      <c r="U1158" s="241"/>
      <c r="V1158" s="241"/>
      <c r="W1158" s="241"/>
      <c r="X1158" s="241"/>
      <c r="Y1158" s="241"/>
      <c r="Z1158" s="252"/>
    </row>
    <row r="1159" spans="3:26" ht="16.5">
      <c r="C1159" s="101"/>
      <c r="D1159" s="101"/>
      <c r="E1159" s="101"/>
      <c r="F1159" s="101"/>
      <c r="G1159" s="101"/>
      <c r="H1159" s="101"/>
      <c r="I1159" s="101"/>
      <c r="J1159" s="101"/>
      <c r="S1159" s="101"/>
      <c r="T1159" s="241"/>
      <c r="U1159" s="241"/>
      <c r="V1159" s="241"/>
      <c r="W1159" s="241"/>
      <c r="X1159" s="241"/>
      <c r="Y1159" s="241"/>
      <c r="Z1159" s="252"/>
    </row>
    <row r="1160" spans="3:26" ht="16.5">
      <c r="C1160" s="101"/>
      <c r="D1160" s="101"/>
      <c r="E1160" s="101"/>
      <c r="F1160" s="101"/>
      <c r="G1160" s="101"/>
      <c r="H1160" s="101"/>
      <c r="I1160" s="101"/>
      <c r="J1160" s="101"/>
      <c r="S1160" s="101"/>
      <c r="T1160" s="241"/>
      <c r="U1160" s="241"/>
      <c r="V1160" s="241"/>
      <c r="W1160" s="241"/>
      <c r="X1160" s="241"/>
      <c r="Y1160" s="241"/>
      <c r="Z1160" s="252"/>
    </row>
    <row r="1161" spans="3:26" ht="16.5">
      <c r="C1161" s="101"/>
      <c r="D1161" s="101"/>
      <c r="E1161" s="101"/>
      <c r="F1161" s="101"/>
      <c r="G1161" s="101"/>
      <c r="H1161" s="101"/>
      <c r="I1161" s="101"/>
      <c r="J1161" s="101"/>
      <c r="S1161" s="101"/>
      <c r="T1161" s="241"/>
      <c r="U1161" s="241"/>
      <c r="V1161" s="241"/>
      <c r="W1161" s="241"/>
      <c r="X1161" s="241"/>
      <c r="Y1161" s="241"/>
      <c r="Z1161" s="252"/>
    </row>
    <row r="1162" spans="3:26" ht="16.5">
      <c r="C1162" s="101"/>
      <c r="D1162" s="101"/>
      <c r="E1162" s="101"/>
      <c r="F1162" s="101"/>
      <c r="G1162" s="101"/>
      <c r="H1162" s="101"/>
      <c r="I1162" s="101"/>
      <c r="J1162" s="101"/>
      <c r="S1162" s="101"/>
      <c r="T1162" s="241"/>
      <c r="U1162" s="241"/>
      <c r="V1162" s="241"/>
      <c r="W1162" s="241"/>
      <c r="X1162" s="241"/>
      <c r="Y1162" s="241"/>
      <c r="Z1162" s="252"/>
    </row>
    <row r="1163" spans="3:26" ht="16.5">
      <c r="C1163" s="101"/>
      <c r="D1163" s="101"/>
      <c r="E1163" s="101"/>
      <c r="F1163" s="101"/>
      <c r="G1163" s="101"/>
      <c r="H1163" s="101"/>
      <c r="I1163" s="101"/>
      <c r="J1163" s="101"/>
      <c r="S1163" s="101"/>
      <c r="T1163" s="241"/>
      <c r="U1163" s="241"/>
      <c r="V1163" s="241"/>
      <c r="W1163" s="241"/>
      <c r="X1163" s="241"/>
      <c r="Y1163" s="241"/>
      <c r="Z1163" s="252"/>
    </row>
    <row r="1164" spans="3:26" ht="16.5">
      <c r="C1164" s="101"/>
      <c r="D1164" s="101"/>
      <c r="E1164" s="101"/>
      <c r="F1164" s="101"/>
      <c r="G1164" s="101"/>
      <c r="H1164" s="101"/>
      <c r="I1164" s="101"/>
      <c r="J1164" s="101"/>
      <c r="S1164" s="101"/>
      <c r="T1164" s="241"/>
      <c r="U1164" s="241"/>
      <c r="V1164" s="241"/>
      <c r="W1164" s="241"/>
      <c r="X1164" s="241"/>
      <c r="Y1164" s="241"/>
      <c r="Z1164" s="252"/>
    </row>
    <row r="1165" spans="3:26" ht="16.5">
      <c r="C1165" s="101"/>
      <c r="D1165" s="101"/>
      <c r="E1165" s="101"/>
      <c r="F1165" s="101"/>
      <c r="G1165" s="101"/>
      <c r="H1165" s="101"/>
      <c r="I1165" s="101"/>
      <c r="J1165" s="101"/>
      <c r="S1165" s="101"/>
      <c r="T1165" s="241"/>
      <c r="U1165" s="241"/>
      <c r="V1165" s="241"/>
      <c r="W1165" s="241"/>
      <c r="X1165" s="241"/>
      <c r="Y1165" s="241"/>
      <c r="Z1165" s="252"/>
    </row>
    <row r="1166" spans="3:26" ht="16.5">
      <c r="C1166" s="101"/>
      <c r="D1166" s="101"/>
      <c r="E1166" s="101"/>
      <c r="F1166" s="101"/>
      <c r="G1166" s="101"/>
      <c r="H1166" s="101"/>
      <c r="I1166" s="101"/>
      <c r="J1166" s="101"/>
      <c r="S1166" s="101"/>
      <c r="T1166" s="241"/>
      <c r="U1166" s="241"/>
      <c r="V1166" s="241"/>
      <c r="W1166" s="241"/>
      <c r="X1166" s="241"/>
      <c r="Y1166" s="241"/>
      <c r="Z1166" s="252"/>
    </row>
    <row r="1167" spans="3:26" ht="16.5">
      <c r="C1167" s="101"/>
      <c r="D1167" s="101"/>
      <c r="E1167" s="101"/>
      <c r="F1167" s="101"/>
      <c r="G1167" s="101"/>
      <c r="H1167" s="101"/>
      <c r="I1167" s="101"/>
      <c r="J1167" s="101"/>
      <c r="S1167" s="101"/>
      <c r="T1167" s="241"/>
      <c r="U1167" s="241"/>
      <c r="V1167" s="241"/>
      <c r="W1167" s="241"/>
      <c r="X1167" s="241"/>
      <c r="Y1167" s="241"/>
      <c r="Z1167" s="252"/>
    </row>
    <row r="1168" spans="3:26" ht="16.5">
      <c r="C1168" s="101"/>
      <c r="D1168" s="101"/>
      <c r="E1168" s="101"/>
      <c r="F1168" s="101"/>
      <c r="G1168" s="101"/>
      <c r="H1168" s="101"/>
      <c r="I1168" s="101"/>
      <c r="J1168" s="101"/>
      <c r="S1168" s="101"/>
      <c r="T1168" s="241"/>
      <c r="U1168" s="241"/>
      <c r="V1168" s="241"/>
      <c r="W1168" s="241"/>
      <c r="X1168" s="241"/>
      <c r="Y1168" s="241"/>
      <c r="Z1168" s="252"/>
    </row>
    <row r="1169" spans="3:26" ht="16.5">
      <c r="C1169" s="101"/>
      <c r="D1169" s="101"/>
      <c r="E1169" s="101"/>
      <c r="F1169" s="101"/>
      <c r="G1169" s="101"/>
      <c r="H1169" s="101"/>
      <c r="I1169" s="101"/>
      <c r="J1169" s="101"/>
      <c r="S1169" s="101"/>
      <c r="T1169" s="241"/>
      <c r="U1169" s="241"/>
      <c r="V1169" s="241"/>
      <c r="W1169" s="241"/>
      <c r="X1169" s="241"/>
      <c r="Y1169" s="241"/>
      <c r="Z1169" s="252"/>
    </row>
    <row r="1170" spans="3:26" ht="16.5">
      <c r="C1170" s="101"/>
      <c r="D1170" s="101"/>
      <c r="E1170" s="101"/>
      <c r="F1170" s="101"/>
      <c r="G1170" s="101"/>
      <c r="H1170" s="101"/>
      <c r="I1170" s="101"/>
      <c r="J1170" s="101"/>
      <c r="S1170" s="101"/>
      <c r="T1170" s="241"/>
      <c r="U1170" s="241"/>
      <c r="V1170" s="241"/>
      <c r="W1170" s="241"/>
      <c r="X1170" s="241"/>
      <c r="Y1170" s="241"/>
      <c r="Z1170" s="252"/>
    </row>
    <row r="1171" spans="3:26" ht="16.5">
      <c r="C1171" s="101"/>
      <c r="D1171" s="101"/>
      <c r="E1171" s="101"/>
      <c r="F1171" s="101"/>
      <c r="G1171" s="101"/>
      <c r="H1171" s="101"/>
      <c r="I1171" s="101"/>
      <c r="J1171" s="101"/>
      <c r="S1171" s="101"/>
      <c r="T1171" s="241"/>
      <c r="U1171" s="241"/>
      <c r="V1171" s="241"/>
      <c r="W1171" s="241"/>
      <c r="X1171" s="241"/>
      <c r="Y1171" s="241"/>
      <c r="Z1171" s="252"/>
    </row>
    <row r="1172" spans="3:26" ht="16.5">
      <c r="C1172" s="101"/>
      <c r="D1172" s="101"/>
      <c r="E1172" s="101"/>
      <c r="F1172" s="101"/>
      <c r="G1172" s="101"/>
      <c r="H1172" s="101"/>
      <c r="I1172" s="101"/>
      <c r="J1172" s="101"/>
      <c r="S1172" s="101"/>
      <c r="T1172" s="241"/>
      <c r="U1172" s="241"/>
      <c r="V1172" s="241"/>
      <c r="W1172" s="241"/>
      <c r="X1172" s="241"/>
      <c r="Y1172" s="241"/>
      <c r="Z1172" s="252"/>
    </row>
    <row r="1173" spans="3:26" ht="16.5">
      <c r="C1173" s="101"/>
      <c r="D1173" s="101"/>
      <c r="E1173" s="101"/>
      <c r="F1173" s="101"/>
      <c r="G1173" s="101"/>
      <c r="H1173" s="101"/>
      <c r="I1173" s="101"/>
      <c r="J1173" s="101"/>
      <c r="S1173" s="101"/>
      <c r="T1173" s="241"/>
      <c r="U1173" s="241"/>
      <c r="V1173" s="241"/>
      <c r="W1173" s="241"/>
      <c r="X1173" s="241"/>
      <c r="Y1173" s="241"/>
      <c r="Z1173" s="252"/>
    </row>
    <row r="1174" spans="3:26" ht="16.5">
      <c r="C1174" s="101"/>
      <c r="D1174" s="101"/>
      <c r="E1174" s="101"/>
      <c r="F1174" s="101"/>
      <c r="G1174" s="101"/>
      <c r="H1174" s="101"/>
      <c r="I1174" s="101"/>
      <c r="J1174" s="101"/>
      <c r="S1174" s="101"/>
      <c r="T1174" s="241"/>
      <c r="U1174" s="241"/>
      <c r="V1174" s="241"/>
      <c r="W1174" s="241"/>
      <c r="X1174" s="241"/>
      <c r="Y1174" s="241"/>
      <c r="Z1174" s="252"/>
    </row>
    <row r="1175" spans="3:26" ht="16.5">
      <c r="C1175" s="101"/>
      <c r="D1175" s="101"/>
      <c r="E1175" s="101"/>
      <c r="F1175" s="101"/>
      <c r="G1175" s="101"/>
      <c r="H1175" s="101"/>
      <c r="I1175" s="101"/>
      <c r="J1175" s="101"/>
      <c r="S1175" s="101"/>
      <c r="T1175" s="241"/>
      <c r="U1175" s="241"/>
      <c r="V1175" s="241"/>
      <c r="W1175" s="241"/>
      <c r="X1175" s="241"/>
      <c r="Y1175" s="241"/>
      <c r="Z1175" s="252"/>
    </row>
    <row r="1176" spans="3:26" ht="16.5">
      <c r="C1176" s="101"/>
      <c r="D1176" s="101"/>
      <c r="E1176" s="101"/>
      <c r="F1176" s="101"/>
      <c r="G1176" s="101"/>
      <c r="H1176" s="101"/>
      <c r="I1176" s="101"/>
      <c r="J1176" s="101"/>
      <c r="S1176" s="101"/>
      <c r="T1176" s="241"/>
      <c r="U1176" s="241"/>
      <c r="V1176" s="241"/>
      <c r="W1176" s="241"/>
      <c r="X1176" s="241"/>
      <c r="Y1176" s="241"/>
      <c r="Z1176" s="252"/>
    </row>
    <row r="1177" spans="3:26" ht="16.5">
      <c r="C1177" s="101"/>
      <c r="D1177" s="101"/>
      <c r="E1177" s="101"/>
      <c r="F1177" s="101"/>
      <c r="G1177" s="101"/>
      <c r="H1177" s="101"/>
      <c r="I1177" s="101"/>
      <c r="J1177" s="101"/>
      <c r="S1177" s="101"/>
      <c r="T1177" s="241"/>
      <c r="U1177" s="241"/>
      <c r="V1177" s="241"/>
      <c r="W1177" s="241"/>
      <c r="X1177" s="241"/>
      <c r="Y1177" s="241"/>
      <c r="Z1177" s="252"/>
    </row>
    <row r="1178" spans="3:26" ht="16.5">
      <c r="C1178" s="101"/>
      <c r="D1178" s="101"/>
      <c r="E1178" s="101"/>
      <c r="F1178" s="101"/>
      <c r="G1178" s="101"/>
      <c r="H1178" s="101"/>
      <c r="I1178" s="101"/>
      <c r="J1178" s="101"/>
      <c r="S1178" s="101"/>
      <c r="T1178" s="241"/>
      <c r="U1178" s="241"/>
      <c r="V1178" s="241"/>
      <c r="W1178" s="241"/>
      <c r="X1178" s="241"/>
      <c r="Y1178" s="241"/>
      <c r="Z1178" s="252"/>
    </row>
    <row r="1179" spans="3:26" ht="16.5">
      <c r="C1179" s="101"/>
      <c r="D1179" s="101"/>
      <c r="E1179" s="101"/>
      <c r="F1179" s="101"/>
      <c r="G1179" s="101"/>
      <c r="H1179" s="101"/>
      <c r="I1179" s="101"/>
      <c r="J1179" s="101"/>
      <c r="S1179" s="101"/>
      <c r="T1179" s="241"/>
      <c r="U1179" s="241"/>
      <c r="V1179" s="241"/>
      <c r="W1179" s="241"/>
      <c r="X1179" s="241"/>
      <c r="Y1179" s="241"/>
      <c r="Z1179" s="252"/>
    </row>
    <row r="1180" spans="3:26" ht="16.5">
      <c r="C1180" s="101"/>
      <c r="D1180" s="101"/>
      <c r="E1180" s="101"/>
      <c r="F1180" s="101"/>
      <c r="G1180" s="101"/>
      <c r="H1180" s="101"/>
      <c r="I1180" s="101"/>
      <c r="J1180" s="101"/>
      <c r="S1180" s="101"/>
      <c r="T1180" s="241"/>
      <c r="U1180" s="241"/>
      <c r="V1180" s="241"/>
      <c r="W1180" s="241"/>
      <c r="X1180" s="241"/>
      <c r="Y1180" s="241"/>
      <c r="Z1180" s="252"/>
    </row>
    <row r="1181" spans="3:26" ht="16.5">
      <c r="C1181" s="101"/>
      <c r="D1181" s="101"/>
      <c r="E1181" s="101"/>
      <c r="F1181" s="101"/>
      <c r="G1181" s="101"/>
      <c r="H1181" s="101"/>
      <c r="I1181" s="101"/>
      <c r="J1181" s="101"/>
      <c r="S1181" s="101"/>
      <c r="T1181" s="241"/>
      <c r="U1181" s="241"/>
      <c r="V1181" s="241"/>
      <c r="W1181" s="241"/>
      <c r="X1181" s="241"/>
      <c r="Y1181" s="241"/>
      <c r="Z1181" s="252"/>
    </row>
    <row r="1182" spans="3:26" ht="16.5">
      <c r="C1182" s="101"/>
      <c r="D1182" s="101"/>
      <c r="E1182" s="101"/>
      <c r="F1182" s="101"/>
      <c r="G1182" s="101"/>
      <c r="H1182" s="101"/>
      <c r="I1182" s="101"/>
      <c r="J1182" s="101"/>
      <c r="S1182" s="101"/>
      <c r="T1182" s="241"/>
      <c r="U1182" s="241"/>
      <c r="V1182" s="241"/>
      <c r="W1182" s="241"/>
      <c r="X1182" s="241"/>
      <c r="Y1182" s="241"/>
      <c r="Z1182" s="252"/>
    </row>
    <row r="1183" spans="3:26" ht="16.5">
      <c r="C1183" s="101"/>
      <c r="D1183" s="101"/>
      <c r="E1183" s="101"/>
      <c r="F1183" s="101"/>
      <c r="G1183" s="101"/>
      <c r="H1183" s="101"/>
      <c r="I1183" s="101"/>
      <c r="J1183" s="101"/>
      <c r="S1183" s="101"/>
      <c r="T1183" s="241"/>
      <c r="U1183" s="241"/>
      <c r="V1183" s="241"/>
      <c r="W1183" s="241"/>
      <c r="X1183" s="241"/>
      <c r="Y1183" s="241"/>
      <c r="Z1183" s="252"/>
    </row>
    <row r="1184" spans="3:26" ht="16.5">
      <c r="C1184" s="101"/>
      <c r="D1184" s="101"/>
      <c r="E1184" s="101"/>
      <c r="F1184" s="101"/>
      <c r="G1184" s="101"/>
      <c r="H1184" s="101"/>
      <c r="I1184" s="101"/>
      <c r="J1184" s="101"/>
      <c r="S1184" s="101"/>
      <c r="T1184" s="241"/>
      <c r="U1184" s="241"/>
      <c r="V1184" s="241"/>
      <c r="W1184" s="241"/>
      <c r="X1184" s="241"/>
      <c r="Y1184" s="241"/>
      <c r="Z1184" s="252"/>
    </row>
    <row r="1185" spans="3:26" ht="16.5">
      <c r="C1185" s="101"/>
      <c r="D1185" s="101"/>
      <c r="E1185" s="101"/>
      <c r="F1185" s="101"/>
      <c r="G1185" s="101"/>
      <c r="H1185" s="101"/>
      <c r="I1185" s="101"/>
      <c r="J1185" s="101"/>
      <c r="S1185" s="101"/>
      <c r="T1185" s="241"/>
      <c r="U1185" s="241"/>
      <c r="V1185" s="241"/>
      <c r="W1185" s="241"/>
      <c r="X1185" s="241"/>
      <c r="Y1185" s="241"/>
      <c r="Z1185" s="252"/>
    </row>
    <row r="1186" spans="3:26" ht="16.5">
      <c r="C1186" s="101"/>
      <c r="D1186" s="101"/>
      <c r="E1186" s="101"/>
      <c r="F1186" s="101"/>
      <c r="G1186" s="101"/>
      <c r="H1186" s="101"/>
      <c r="I1186" s="101"/>
      <c r="J1186" s="101"/>
      <c r="S1186" s="101"/>
      <c r="T1186" s="241"/>
      <c r="U1186" s="241"/>
      <c r="V1186" s="241"/>
      <c r="W1186" s="241"/>
      <c r="X1186" s="241"/>
      <c r="Y1186" s="241"/>
      <c r="Z1186" s="252"/>
    </row>
    <row r="1187" spans="3:26" ht="16.5">
      <c r="C1187" s="101"/>
      <c r="D1187" s="101"/>
      <c r="E1187" s="101"/>
      <c r="F1187" s="101"/>
      <c r="G1187" s="101"/>
      <c r="H1187" s="101"/>
      <c r="I1187" s="101"/>
      <c r="J1187" s="101"/>
      <c r="S1187" s="101"/>
      <c r="T1187" s="241"/>
      <c r="U1187" s="241"/>
      <c r="V1187" s="241"/>
      <c r="W1187" s="241"/>
      <c r="X1187" s="241"/>
      <c r="Y1187" s="241"/>
      <c r="Z1187" s="252"/>
    </row>
    <row r="1188" spans="3:26" ht="16.5">
      <c r="C1188" s="101"/>
      <c r="D1188" s="101"/>
      <c r="E1188" s="101"/>
      <c r="F1188" s="101"/>
      <c r="G1188" s="101"/>
      <c r="H1188" s="101"/>
      <c r="I1188" s="101"/>
      <c r="J1188" s="101"/>
      <c r="S1188" s="101"/>
      <c r="T1188" s="241"/>
      <c r="U1188" s="241"/>
      <c r="V1188" s="241"/>
      <c r="W1188" s="241"/>
      <c r="X1188" s="241"/>
      <c r="Y1188" s="241"/>
      <c r="Z1188" s="252"/>
    </row>
    <row r="1189" spans="3:26" ht="16.5">
      <c r="C1189" s="101"/>
      <c r="D1189" s="101"/>
      <c r="E1189" s="101"/>
      <c r="F1189" s="101"/>
      <c r="G1189" s="101"/>
      <c r="H1189" s="101"/>
      <c r="I1189" s="101"/>
      <c r="J1189" s="101"/>
      <c r="S1189" s="101"/>
      <c r="T1189" s="241"/>
      <c r="U1189" s="241"/>
      <c r="V1189" s="241"/>
      <c r="W1189" s="241"/>
      <c r="X1189" s="241"/>
      <c r="Y1189" s="241"/>
      <c r="Z1189" s="252"/>
    </row>
    <row r="1190" spans="3:26" ht="16.5">
      <c r="C1190" s="101"/>
      <c r="D1190" s="101"/>
      <c r="E1190" s="101"/>
      <c r="F1190" s="101"/>
      <c r="G1190" s="101"/>
      <c r="H1190" s="101"/>
      <c r="I1190" s="101"/>
      <c r="J1190" s="101"/>
      <c r="S1190" s="101"/>
      <c r="T1190" s="241"/>
      <c r="U1190" s="241"/>
      <c r="V1190" s="241"/>
      <c r="W1190" s="241"/>
      <c r="X1190" s="241"/>
      <c r="Y1190" s="241"/>
      <c r="Z1190" s="252"/>
    </row>
    <row r="1191" spans="3:26" ht="16.5">
      <c r="C1191" s="101"/>
      <c r="D1191" s="101"/>
      <c r="E1191" s="101"/>
      <c r="F1191" s="101"/>
      <c r="G1191" s="101"/>
      <c r="H1191" s="101"/>
      <c r="I1191" s="101"/>
      <c r="J1191" s="101"/>
      <c r="S1191" s="101"/>
      <c r="T1191" s="241"/>
      <c r="U1191" s="241"/>
      <c r="V1191" s="241"/>
      <c r="W1191" s="241"/>
      <c r="X1191" s="241"/>
      <c r="Y1191" s="241"/>
      <c r="Z1191" s="252"/>
    </row>
    <row r="1192" spans="3:26" ht="16.5">
      <c r="C1192" s="101"/>
      <c r="D1192" s="101"/>
      <c r="E1192" s="101"/>
      <c r="F1192" s="101"/>
      <c r="G1192" s="101"/>
      <c r="H1192" s="101"/>
      <c r="I1192" s="101"/>
      <c r="J1192" s="101"/>
      <c r="S1192" s="101"/>
      <c r="T1192" s="241"/>
      <c r="U1192" s="241"/>
      <c r="V1192" s="241"/>
      <c r="W1192" s="241"/>
      <c r="X1192" s="241"/>
      <c r="Y1192" s="241"/>
      <c r="Z1192" s="252"/>
    </row>
    <row r="1193" spans="3:26" ht="16.5">
      <c r="C1193" s="101"/>
      <c r="D1193" s="101"/>
      <c r="E1193" s="101"/>
      <c r="F1193" s="101"/>
      <c r="G1193" s="101"/>
      <c r="H1193" s="101"/>
      <c r="I1193" s="101"/>
      <c r="J1193" s="101"/>
      <c r="S1193" s="101"/>
      <c r="T1193" s="241"/>
      <c r="U1193" s="241"/>
      <c r="V1193" s="241"/>
      <c r="W1193" s="241"/>
      <c r="X1193" s="241"/>
      <c r="Y1193" s="241"/>
      <c r="Z1193" s="252"/>
    </row>
    <row r="1194" spans="3:26" ht="16.5">
      <c r="C1194" s="101"/>
      <c r="D1194" s="101"/>
      <c r="E1194" s="101"/>
      <c r="F1194" s="101"/>
      <c r="G1194" s="101"/>
      <c r="H1194" s="101"/>
      <c r="I1194" s="101"/>
      <c r="J1194" s="101"/>
      <c r="S1194" s="101"/>
      <c r="T1194" s="241"/>
      <c r="U1194" s="241"/>
      <c r="V1194" s="241"/>
      <c r="W1194" s="241"/>
      <c r="X1194" s="241"/>
      <c r="Y1194" s="241"/>
      <c r="Z1194" s="252"/>
    </row>
    <row r="1195" spans="3:26" ht="16.5">
      <c r="C1195" s="101"/>
      <c r="D1195" s="101"/>
      <c r="E1195" s="101"/>
      <c r="F1195" s="101"/>
      <c r="G1195" s="101"/>
      <c r="H1195" s="101"/>
      <c r="I1195" s="101"/>
      <c r="J1195" s="101"/>
      <c r="S1195" s="101"/>
      <c r="T1195" s="241"/>
      <c r="U1195" s="241"/>
      <c r="V1195" s="241"/>
      <c r="W1195" s="241"/>
      <c r="X1195" s="241"/>
      <c r="Y1195" s="241"/>
      <c r="Z1195" s="252"/>
    </row>
    <row r="1196" spans="3:26" ht="16.5">
      <c r="C1196" s="101"/>
      <c r="D1196" s="101"/>
      <c r="E1196" s="101"/>
      <c r="F1196" s="101"/>
      <c r="G1196" s="101"/>
      <c r="H1196" s="101"/>
      <c r="I1196" s="101"/>
      <c r="J1196" s="101"/>
      <c r="S1196" s="101"/>
      <c r="T1196" s="241"/>
      <c r="U1196" s="241"/>
      <c r="V1196" s="241"/>
      <c r="W1196" s="241"/>
      <c r="X1196" s="241"/>
      <c r="Y1196" s="241"/>
      <c r="Z1196" s="252"/>
    </row>
    <row r="1197" spans="3:26" ht="16.5">
      <c r="C1197" s="101"/>
      <c r="D1197" s="101"/>
      <c r="E1197" s="101"/>
      <c r="F1197" s="101"/>
      <c r="G1197" s="101"/>
      <c r="H1197" s="101"/>
      <c r="I1197" s="101"/>
      <c r="J1197" s="101"/>
      <c r="S1197" s="101"/>
      <c r="T1197" s="241"/>
      <c r="U1197" s="241"/>
      <c r="V1197" s="241"/>
      <c r="W1197" s="241"/>
      <c r="X1197" s="241"/>
      <c r="Y1197" s="241"/>
      <c r="Z1197" s="252"/>
    </row>
    <row r="1198" spans="3:26" ht="16.5">
      <c r="C1198" s="101"/>
      <c r="D1198" s="101"/>
      <c r="E1198" s="101"/>
      <c r="F1198" s="101"/>
      <c r="G1198" s="101"/>
      <c r="H1198" s="101"/>
      <c r="I1198" s="101"/>
      <c r="J1198" s="101"/>
      <c r="S1198" s="101"/>
      <c r="T1198" s="241"/>
      <c r="U1198" s="241"/>
      <c r="V1198" s="241"/>
      <c r="W1198" s="241"/>
      <c r="X1198" s="241"/>
      <c r="Y1198" s="241"/>
      <c r="Z1198" s="252"/>
    </row>
    <row r="1199" spans="3:26" ht="16.5">
      <c r="C1199" s="101"/>
      <c r="D1199" s="101"/>
      <c r="E1199" s="101"/>
      <c r="F1199" s="101"/>
      <c r="G1199" s="101"/>
      <c r="H1199" s="101"/>
      <c r="I1199" s="101"/>
      <c r="J1199" s="101"/>
      <c r="S1199" s="101"/>
      <c r="T1199" s="241"/>
      <c r="U1199" s="241"/>
      <c r="V1199" s="241"/>
      <c r="W1199" s="241"/>
      <c r="X1199" s="241"/>
      <c r="Y1199" s="241"/>
      <c r="Z1199" s="252"/>
    </row>
    <row r="1200" spans="3:26" ht="16.5">
      <c r="C1200" s="101"/>
      <c r="D1200" s="101"/>
      <c r="E1200" s="101"/>
      <c r="F1200" s="101"/>
      <c r="G1200" s="101"/>
      <c r="H1200" s="101"/>
      <c r="I1200" s="101"/>
      <c r="J1200" s="101"/>
      <c r="S1200" s="101"/>
      <c r="T1200" s="241"/>
      <c r="U1200" s="241"/>
      <c r="V1200" s="241"/>
      <c r="W1200" s="241"/>
      <c r="X1200" s="241"/>
      <c r="Y1200" s="241"/>
      <c r="Z1200" s="252"/>
    </row>
    <row r="1201" spans="3:26" ht="16.5">
      <c r="C1201" s="101"/>
      <c r="D1201" s="101"/>
      <c r="E1201" s="101"/>
      <c r="F1201" s="101"/>
      <c r="G1201" s="101"/>
      <c r="H1201" s="101"/>
      <c r="I1201" s="101"/>
      <c r="J1201" s="101"/>
      <c r="S1201" s="101"/>
      <c r="T1201" s="241"/>
      <c r="U1201" s="241"/>
      <c r="V1201" s="241"/>
      <c r="W1201" s="241"/>
      <c r="X1201" s="241"/>
      <c r="Y1201" s="241"/>
      <c r="Z1201" s="252"/>
    </row>
    <row r="1202" spans="3:26" ht="16.5">
      <c r="C1202" s="101"/>
      <c r="D1202" s="101"/>
      <c r="E1202" s="101"/>
      <c r="F1202" s="101"/>
      <c r="G1202" s="101"/>
      <c r="H1202" s="101"/>
      <c r="I1202" s="101"/>
      <c r="J1202" s="101"/>
      <c r="S1202" s="101"/>
      <c r="T1202" s="241"/>
      <c r="U1202" s="241"/>
      <c r="V1202" s="241"/>
      <c r="W1202" s="241"/>
      <c r="X1202" s="241"/>
      <c r="Y1202" s="241"/>
      <c r="Z1202" s="252"/>
    </row>
    <row r="1203" spans="3:26" ht="16.5">
      <c r="C1203" s="101"/>
      <c r="D1203" s="101"/>
      <c r="E1203" s="101"/>
      <c r="F1203" s="101"/>
      <c r="G1203" s="101"/>
      <c r="H1203" s="101"/>
      <c r="I1203" s="101"/>
      <c r="J1203" s="101"/>
      <c r="S1203" s="101"/>
      <c r="T1203" s="241"/>
      <c r="U1203" s="241"/>
      <c r="V1203" s="241"/>
      <c r="W1203" s="241"/>
      <c r="X1203" s="241"/>
      <c r="Y1203" s="241"/>
      <c r="Z1203" s="252"/>
    </row>
    <row r="1204" spans="3:26" ht="16.5">
      <c r="C1204" s="101"/>
      <c r="D1204" s="101"/>
      <c r="E1204" s="101"/>
      <c r="F1204" s="101"/>
      <c r="G1204" s="101"/>
      <c r="H1204" s="101"/>
      <c r="I1204" s="101"/>
      <c r="J1204" s="101"/>
      <c r="S1204" s="101"/>
      <c r="T1204" s="241"/>
      <c r="U1204" s="241"/>
      <c r="V1204" s="241"/>
      <c r="W1204" s="241"/>
      <c r="X1204" s="241"/>
      <c r="Y1204" s="241"/>
      <c r="Z1204" s="252"/>
    </row>
    <row r="1205" spans="3:26" ht="16.5">
      <c r="C1205" s="101"/>
      <c r="D1205" s="101"/>
      <c r="E1205" s="101"/>
      <c r="F1205" s="101"/>
      <c r="G1205" s="101"/>
      <c r="H1205" s="101"/>
      <c r="I1205" s="101"/>
      <c r="J1205" s="101"/>
      <c r="S1205" s="101"/>
      <c r="T1205" s="241"/>
      <c r="U1205" s="241"/>
      <c r="V1205" s="241"/>
      <c r="W1205" s="241"/>
      <c r="X1205" s="241"/>
      <c r="Y1205" s="241"/>
      <c r="Z1205" s="252"/>
    </row>
    <row r="1206" spans="3:26" ht="16.5">
      <c r="C1206" s="101"/>
      <c r="D1206" s="101"/>
      <c r="E1206" s="101"/>
      <c r="F1206" s="101"/>
      <c r="G1206" s="101"/>
      <c r="H1206" s="101"/>
      <c r="I1206" s="101"/>
      <c r="J1206" s="101"/>
      <c r="S1206" s="101"/>
      <c r="T1206" s="241"/>
      <c r="U1206" s="241"/>
      <c r="V1206" s="241"/>
      <c r="W1206" s="241"/>
      <c r="X1206" s="241"/>
      <c r="Y1206" s="241"/>
      <c r="Z1206" s="252"/>
    </row>
    <row r="1207" spans="3:26" ht="16.5">
      <c r="C1207" s="101"/>
      <c r="D1207" s="101"/>
      <c r="E1207" s="101"/>
      <c r="F1207" s="101"/>
      <c r="G1207" s="101"/>
      <c r="H1207" s="101"/>
      <c r="I1207" s="101"/>
      <c r="J1207" s="101"/>
      <c r="S1207" s="101"/>
      <c r="T1207" s="241"/>
      <c r="U1207" s="241"/>
      <c r="V1207" s="241"/>
      <c r="W1207" s="241"/>
      <c r="X1207" s="241"/>
      <c r="Y1207" s="241"/>
      <c r="Z1207" s="252"/>
    </row>
    <row r="1208" spans="3:26" ht="16.5">
      <c r="C1208" s="101"/>
      <c r="D1208" s="101"/>
      <c r="E1208" s="101"/>
      <c r="F1208" s="101"/>
      <c r="G1208" s="101"/>
      <c r="H1208" s="101"/>
      <c r="I1208" s="101"/>
      <c r="J1208" s="101"/>
      <c r="S1208" s="101"/>
      <c r="T1208" s="241"/>
      <c r="U1208" s="241"/>
      <c r="V1208" s="241"/>
      <c r="W1208" s="241"/>
      <c r="X1208" s="241"/>
      <c r="Y1208" s="241"/>
      <c r="Z1208" s="252"/>
    </row>
    <row r="1209" spans="3:26" ht="16.5">
      <c r="C1209" s="101"/>
      <c r="D1209" s="101"/>
      <c r="E1209" s="101"/>
      <c r="F1209" s="101"/>
      <c r="G1209" s="101"/>
      <c r="H1209" s="101"/>
      <c r="I1209" s="101"/>
      <c r="J1209" s="101"/>
      <c r="S1209" s="101"/>
      <c r="T1209" s="241"/>
      <c r="U1209" s="241"/>
      <c r="V1209" s="241"/>
      <c r="W1209" s="241"/>
      <c r="X1209" s="241"/>
      <c r="Y1209" s="241"/>
      <c r="Z1209" s="252"/>
    </row>
    <row r="1210" spans="3:26" ht="16.5">
      <c r="C1210" s="101"/>
      <c r="D1210" s="101"/>
      <c r="E1210" s="101"/>
      <c r="F1210" s="101"/>
      <c r="G1210" s="101"/>
      <c r="H1210" s="101"/>
      <c r="I1210" s="101"/>
      <c r="J1210" s="101"/>
      <c r="S1210" s="101"/>
      <c r="T1210" s="241"/>
      <c r="U1210" s="241"/>
      <c r="V1210" s="241"/>
      <c r="W1210" s="241"/>
      <c r="X1210" s="241"/>
      <c r="Y1210" s="241"/>
      <c r="Z1210" s="252"/>
    </row>
    <row r="1211" spans="3:26" ht="16.5">
      <c r="C1211" s="101"/>
      <c r="D1211" s="101"/>
      <c r="E1211" s="101"/>
      <c r="F1211" s="101"/>
      <c r="G1211" s="101"/>
      <c r="H1211" s="101"/>
      <c r="I1211" s="101"/>
      <c r="J1211" s="101"/>
      <c r="S1211" s="101"/>
      <c r="T1211" s="241"/>
      <c r="U1211" s="241"/>
      <c r="V1211" s="241"/>
      <c r="W1211" s="241"/>
      <c r="X1211" s="241"/>
      <c r="Y1211" s="241"/>
      <c r="Z1211" s="252"/>
    </row>
    <row r="1212" spans="3:26" ht="16.5">
      <c r="C1212" s="101"/>
      <c r="D1212" s="101"/>
      <c r="E1212" s="101"/>
      <c r="F1212" s="101"/>
      <c r="G1212" s="101"/>
      <c r="H1212" s="101"/>
      <c r="I1212" s="101"/>
      <c r="J1212" s="101"/>
      <c r="S1212" s="101"/>
      <c r="T1212" s="241"/>
      <c r="U1212" s="241"/>
      <c r="V1212" s="241"/>
      <c r="W1212" s="241"/>
      <c r="X1212" s="241"/>
      <c r="Y1212" s="241"/>
      <c r="Z1212" s="252"/>
    </row>
    <row r="1213" spans="3:26" ht="16.5">
      <c r="C1213" s="101"/>
      <c r="D1213" s="101"/>
      <c r="E1213" s="101"/>
      <c r="F1213" s="101"/>
      <c r="G1213" s="101"/>
      <c r="H1213" s="101"/>
      <c r="I1213" s="101"/>
      <c r="J1213" s="101"/>
      <c r="S1213" s="101"/>
      <c r="T1213" s="241"/>
      <c r="U1213" s="241"/>
      <c r="V1213" s="241"/>
      <c r="W1213" s="241"/>
      <c r="X1213" s="241"/>
      <c r="Y1213" s="241"/>
      <c r="Z1213" s="252"/>
    </row>
    <row r="1214" spans="3:26" ht="16.5">
      <c r="C1214" s="101"/>
      <c r="D1214" s="101"/>
      <c r="E1214" s="101"/>
      <c r="F1214" s="101"/>
      <c r="G1214" s="101"/>
      <c r="H1214" s="101"/>
      <c r="I1214" s="101"/>
      <c r="J1214" s="101"/>
      <c r="S1214" s="101"/>
      <c r="T1214" s="241"/>
      <c r="U1214" s="241"/>
      <c r="V1214" s="241"/>
      <c r="W1214" s="241"/>
      <c r="X1214" s="241"/>
      <c r="Y1214" s="241"/>
      <c r="Z1214" s="252"/>
    </row>
    <row r="1215" spans="3:26" ht="16.5">
      <c r="C1215" s="101"/>
      <c r="D1215" s="101"/>
      <c r="E1215" s="101"/>
      <c r="F1215" s="101"/>
      <c r="G1215" s="101"/>
      <c r="H1215" s="101"/>
      <c r="I1215" s="101"/>
      <c r="J1215" s="101"/>
      <c r="S1215" s="101"/>
      <c r="T1215" s="241"/>
      <c r="U1215" s="241"/>
      <c r="V1215" s="241"/>
      <c r="W1215" s="241"/>
      <c r="X1215" s="241"/>
      <c r="Y1215" s="241"/>
      <c r="Z1215" s="252"/>
    </row>
    <row r="1216" spans="3:26" ht="16.5">
      <c r="C1216" s="101"/>
      <c r="D1216" s="101"/>
      <c r="E1216" s="101"/>
      <c r="F1216" s="101"/>
      <c r="G1216" s="101"/>
      <c r="H1216" s="101"/>
      <c r="I1216" s="101"/>
      <c r="J1216" s="101"/>
      <c r="S1216" s="101"/>
      <c r="T1216" s="241"/>
      <c r="U1216" s="241"/>
      <c r="V1216" s="241"/>
      <c r="W1216" s="241"/>
      <c r="X1216" s="241"/>
      <c r="Y1216" s="241"/>
      <c r="Z1216" s="252"/>
    </row>
    <row r="1217" spans="3:26" ht="16.5">
      <c r="C1217" s="101"/>
      <c r="D1217" s="101"/>
      <c r="E1217" s="101"/>
      <c r="F1217" s="101"/>
      <c r="G1217" s="101"/>
      <c r="H1217" s="101"/>
      <c r="I1217" s="101"/>
      <c r="J1217" s="101"/>
      <c r="S1217" s="101"/>
      <c r="T1217" s="241"/>
      <c r="U1217" s="241"/>
      <c r="V1217" s="241"/>
      <c r="W1217" s="241"/>
      <c r="X1217" s="241"/>
      <c r="Y1217" s="241"/>
      <c r="Z1217" s="252"/>
    </row>
    <row r="1218" spans="3:26" ht="16.5">
      <c r="C1218" s="101"/>
      <c r="D1218" s="101"/>
      <c r="E1218" s="101"/>
      <c r="F1218" s="101"/>
      <c r="G1218" s="101"/>
      <c r="H1218" s="101"/>
      <c r="I1218" s="101"/>
      <c r="J1218" s="101"/>
      <c r="S1218" s="101"/>
      <c r="T1218" s="241"/>
      <c r="U1218" s="241"/>
      <c r="V1218" s="241"/>
      <c r="W1218" s="241"/>
      <c r="X1218" s="241"/>
      <c r="Y1218" s="241"/>
      <c r="Z1218" s="252"/>
    </row>
    <row r="1219" spans="3:26" ht="16.5">
      <c r="C1219" s="101"/>
      <c r="D1219" s="101"/>
      <c r="E1219" s="101"/>
      <c r="F1219" s="101"/>
      <c r="G1219" s="101"/>
      <c r="H1219" s="101"/>
      <c r="I1219" s="101"/>
      <c r="J1219" s="101"/>
      <c r="S1219" s="101"/>
      <c r="T1219" s="241"/>
      <c r="U1219" s="241"/>
      <c r="V1219" s="241"/>
      <c r="W1219" s="241"/>
      <c r="X1219" s="241"/>
      <c r="Y1219" s="241"/>
      <c r="Z1219" s="252"/>
    </row>
    <row r="1220" spans="3:26" ht="16.5">
      <c r="C1220" s="101"/>
      <c r="D1220" s="101"/>
      <c r="E1220" s="101"/>
      <c r="F1220" s="101"/>
      <c r="G1220" s="101"/>
      <c r="H1220" s="101"/>
      <c r="I1220" s="101"/>
      <c r="J1220" s="101"/>
      <c r="S1220" s="101"/>
      <c r="T1220" s="241"/>
      <c r="U1220" s="241"/>
      <c r="V1220" s="241"/>
      <c r="W1220" s="241"/>
      <c r="X1220" s="241"/>
      <c r="Y1220" s="241"/>
      <c r="Z1220" s="252"/>
    </row>
    <row r="1221" spans="3:26" ht="16.5">
      <c r="C1221" s="101"/>
      <c r="D1221" s="101"/>
      <c r="E1221" s="101"/>
      <c r="F1221" s="101"/>
      <c r="G1221" s="101"/>
      <c r="H1221" s="101"/>
      <c r="I1221" s="101"/>
      <c r="J1221" s="101"/>
      <c r="S1221" s="101"/>
      <c r="T1221" s="241"/>
      <c r="U1221" s="241"/>
      <c r="V1221" s="241"/>
      <c r="W1221" s="241"/>
      <c r="X1221" s="241"/>
      <c r="Y1221" s="241"/>
      <c r="Z1221" s="252"/>
    </row>
    <row r="1222" spans="3:26" ht="16.5">
      <c r="C1222" s="101"/>
      <c r="D1222" s="101"/>
      <c r="E1222" s="101"/>
      <c r="F1222" s="101"/>
      <c r="G1222" s="101"/>
      <c r="H1222" s="101"/>
      <c r="I1222" s="101"/>
      <c r="J1222" s="101"/>
      <c r="S1222" s="101"/>
      <c r="T1222" s="241"/>
      <c r="U1222" s="241"/>
      <c r="V1222" s="241"/>
      <c r="W1222" s="241"/>
      <c r="X1222" s="241"/>
      <c r="Y1222" s="241"/>
      <c r="Z1222" s="252"/>
    </row>
    <row r="1223" spans="3:26" ht="16.5">
      <c r="C1223" s="101"/>
      <c r="D1223" s="101"/>
      <c r="E1223" s="101"/>
      <c r="F1223" s="101"/>
      <c r="G1223" s="101"/>
      <c r="H1223" s="101"/>
      <c r="I1223" s="101"/>
      <c r="J1223" s="101"/>
      <c r="S1223" s="101"/>
      <c r="T1223" s="241"/>
      <c r="U1223" s="241"/>
      <c r="V1223" s="241"/>
      <c r="W1223" s="241"/>
      <c r="X1223" s="241"/>
      <c r="Y1223" s="241"/>
      <c r="Z1223" s="252"/>
    </row>
    <row r="1224" spans="3:26" ht="16.5">
      <c r="C1224" s="101"/>
      <c r="D1224" s="101"/>
      <c r="E1224" s="101"/>
      <c r="F1224" s="101"/>
      <c r="G1224" s="101"/>
      <c r="H1224" s="101"/>
      <c r="I1224" s="101"/>
      <c r="J1224" s="101"/>
      <c r="S1224" s="101"/>
      <c r="T1224" s="241"/>
      <c r="U1224" s="241"/>
      <c r="V1224" s="241"/>
      <c r="W1224" s="241"/>
      <c r="X1224" s="241"/>
      <c r="Y1224" s="241"/>
      <c r="Z1224" s="252"/>
    </row>
    <row r="1225" spans="3:26" ht="16.5">
      <c r="C1225" s="101"/>
      <c r="D1225" s="101"/>
      <c r="E1225" s="101"/>
      <c r="F1225" s="101"/>
      <c r="G1225" s="101"/>
      <c r="H1225" s="101"/>
      <c r="I1225" s="101"/>
      <c r="J1225" s="101"/>
      <c r="S1225" s="101"/>
      <c r="T1225" s="241"/>
      <c r="U1225" s="241"/>
      <c r="V1225" s="241"/>
      <c r="W1225" s="241"/>
      <c r="X1225" s="241"/>
      <c r="Y1225" s="241"/>
      <c r="Z1225" s="252"/>
    </row>
    <row r="1226" spans="3:26" ht="16.5">
      <c r="C1226" s="101"/>
      <c r="D1226" s="101"/>
      <c r="E1226" s="101"/>
      <c r="F1226" s="101"/>
      <c r="G1226" s="101"/>
      <c r="H1226" s="101"/>
      <c r="I1226" s="101"/>
      <c r="J1226" s="101"/>
      <c r="S1226" s="101"/>
      <c r="T1226" s="241"/>
      <c r="U1226" s="241"/>
      <c r="V1226" s="241"/>
      <c r="W1226" s="241"/>
      <c r="X1226" s="241"/>
      <c r="Y1226" s="241"/>
      <c r="Z1226" s="252"/>
    </row>
    <row r="1227" spans="3:26" ht="16.5">
      <c r="C1227" s="101"/>
      <c r="D1227" s="101"/>
      <c r="E1227" s="101"/>
      <c r="F1227" s="101"/>
      <c r="G1227" s="101"/>
      <c r="H1227" s="101"/>
      <c r="I1227" s="101"/>
      <c r="J1227" s="101"/>
      <c r="S1227" s="101"/>
      <c r="T1227" s="241"/>
      <c r="U1227" s="241"/>
      <c r="V1227" s="241"/>
      <c r="W1227" s="241"/>
      <c r="X1227" s="241"/>
      <c r="Y1227" s="241"/>
      <c r="Z1227" s="252"/>
    </row>
    <row r="1228" spans="3:26" ht="16.5">
      <c r="C1228" s="101"/>
      <c r="D1228" s="101"/>
      <c r="E1228" s="101"/>
      <c r="F1228" s="101"/>
      <c r="G1228" s="101"/>
      <c r="H1228" s="101"/>
      <c r="I1228" s="101"/>
      <c r="J1228" s="101"/>
      <c r="S1228" s="101"/>
      <c r="T1228" s="241"/>
      <c r="U1228" s="241"/>
      <c r="V1228" s="241"/>
      <c r="W1228" s="241"/>
      <c r="X1228" s="241"/>
      <c r="Y1228" s="241"/>
      <c r="Z1228" s="252"/>
    </row>
    <row r="1229" spans="3:26" ht="16.5">
      <c r="C1229" s="101"/>
      <c r="D1229" s="101"/>
      <c r="E1229" s="101"/>
      <c r="F1229" s="101"/>
      <c r="G1229" s="101"/>
      <c r="H1229" s="101"/>
      <c r="I1229" s="101"/>
      <c r="J1229" s="101"/>
      <c r="S1229" s="101"/>
      <c r="T1229" s="241"/>
      <c r="U1229" s="241"/>
      <c r="V1229" s="241"/>
      <c r="W1229" s="241"/>
      <c r="X1229" s="241"/>
      <c r="Y1229" s="241"/>
      <c r="Z1229" s="252"/>
    </row>
    <row r="1230" spans="3:26" ht="16.5">
      <c r="C1230" s="101"/>
      <c r="D1230" s="101"/>
      <c r="E1230" s="101"/>
      <c r="F1230" s="101"/>
      <c r="G1230" s="101"/>
      <c r="H1230" s="101"/>
      <c r="I1230" s="101"/>
      <c r="J1230" s="101"/>
      <c r="S1230" s="101"/>
      <c r="T1230" s="241"/>
      <c r="U1230" s="241"/>
      <c r="V1230" s="241"/>
      <c r="W1230" s="241"/>
      <c r="X1230" s="241"/>
      <c r="Y1230" s="241"/>
      <c r="Z1230" s="252"/>
    </row>
    <row r="1231" spans="3:26" ht="16.5">
      <c r="C1231" s="101"/>
      <c r="D1231" s="101"/>
      <c r="E1231" s="101"/>
      <c r="F1231" s="101"/>
      <c r="G1231" s="101"/>
      <c r="H1231" s="101"/>
      <c r="I1231" s="101"/>
      <c r="J1231" s="101"/>
      <c r="S1231" s="101"/>
      <c r="T1231" s="241"/>
      <c r="U1231" s="241"/>
      <c r="V1231" s="241"/>
      <c r="W1231" s="241"/>
      <c r="X1231" s="241"/>
      <c r="Y1231" s="241"/>
      <c r="Z1231" s="252"/>
    </row>
    <row r="1232" spans="3:26" ht="16.5">
      <c r="C1232" s="101"/>
      <c r="D1232" s="101"/>
      <c r="E1232" s="101"/>
      <c r="F1232" s="101"/>
      <c r="G1232" s="101"/>
      <c r="H1232" s="101"/>
      <c r="I1232" s="101"/>
      <c r="J1232" s="101"/>
      <c r="S1232" s="101"/>
      <c r="T1232" s="241"/>
      <c r="U1232" s="241"/>
      <c r="V1232" s="241"/>
      <c r="W1232" s="241"/>
      <c r="X1232" s="241"/>
      <c r="Y1232" s="241"/>
      <c r="Z1232" s="252"/>
    </row>
    <row r="1233" spans="3:26" ht="16.5">
      <c r="C1233" s="101"/>
      <c r="D1233" s="101"/>
      <c r="E1233" s="101"/>
      <c r="F1233" s="101"/>
      <c r="G1233" s="101"/>
      <c r="H1233" s="101"/>
      <c r="I1233" s="101"/>
      <c r="J1233" s="101"/>
      <c r="S1233" s="101"/>
      <c r="T1233" s="241"/>
      <c r="U1233" s="241"/>
      <c r="V1233" s="241"/>
      <c r="W1233" s="241"/>
      <c r="X1233" s="241"/>
      <c r="Y1233" s="241"/>
      <c r="Z1233" s="252"/>
    </row>
    <row r="1234" spans="3:26" ht="16.5">
      <c r="C1234" s="101"/>
      <c r="D1234" s="101"/>
      <c r="E1234" s="101"/>
      <c r="F1234" s="101"/>
      <c r="G1234" s="101"/>
      <c r="H1234" s="101"/>
      <c r="I1234" s="101"/>
      <c r="J1234" s="101"/>
      <c r="S1234" s="101"/>
      <c r="T1234" s="241"/>
      <c r="U1234" s="241"/>
      <c r="V1234" s="241"/>
      <c r="W1234" s="241"/>
      <c r="X1234" s="241"/>
      <c r="Y1234" s="241"/>
      <c r="Z1234" s="252"/>
    </row>
    <row r="1235" spans="3:26" ht="16.5">
      <c r="C1235" s="101"/>
      <c r="D1235" s="101"/>
      <c r="E1235" s="101"/>
      <c r="F1235" s="101"/>
      <c r="G1235" s="101"/>
      <c r="H1235" s="101"/>
      <c r="I1235" s="101"/>
      <c r="J1235" s="101"/>
      <c r="S1235" s="101"/>
      <c r="T1235" s="241"/>
      <c r="U1235" s="241"/>
      <c r="V1235" s="241"/>
      <c r="W1235" s="241"/>
      <c r="X1235" s="241"/>
      <c r="Y1235" s="241"/>
      <c r="Z1235" s="252"/>
    </row>
    <row r="1236" spans="3:26" ht="16.5">
      <c r="C1236" s="101"/>
      <c r="D1236" s="101"/>
      <c r="E1236" s="101"/>
      <c r="F1236" s="101"/>
      <c r="G1236" s="101"/>
      <c r="H1236" s="101"/>
      <c r="I1236" s="101"/>
      <c r="J1236" s="101"/>
      <c r="S1236" s="101"/>
      <c r="T1236" s="241"/>
      <c r="U1236" s="241"/>
      <c r="V1236" s="241"/>
      <c r="W1236" s="241"/>
      <c r="X1236" s="241"/>
      <c r="Y1236" s="241"/>
      <c r="Z1236" s="252"/>
    </row>
    <row r="1237" spans="3:26" ht="16.5">
      <c r="C1237" s="101"/>
      <c r="D1237" s="101"/>
      <c r="E1237" s="101"/>
      <c r="F1237" s="101"/>
      <c r="G1237" s="101"/>
      <c r="H1237" s="101"/>
      <c r="I1237" s="101"/>
      <c r="J1237" s="101"/>
      <c r="S1237" s="101"/>
      <c r="T1237" s="241"/>
      <c r="U1237" s="241"/>
      <c r="V1237" s="241"/>
      <c r="W1237" s="241"/>
      <c r="X1237" s="241"/>
      <c r="Y1237" s="241"/>
      <c r="Z1237" s="252"/>
    </row>
    <row r="1238" spans="3:26" ht="16.5">
      <c r="C1238" s="101"/>
      <c r="D1238" s="101"/>
      <c r="E1238" s="101"/>
      <c r="F1238" s="101"/>
      <c r="G1238" s="101"/>
      <c r="H1238" s="101"/>
      <c r="I1238" s="101"/>
      <c r="J1238" s="101"/>
      <c r="S1238" s="101"/>
      <c r="T1238" s="241"/>
      <c r="U1238" s="241"/>
      <c r="V1238" s="241"/>
      <c r="W1238" s="241"/>
      <c r="X1238" s="241"/>
      <c r="Y1238" s="241"/>
      <c r="Z1238" s="252"/>
    </row>
    <row r="1239" spans="3:26" ht="16.5">
      <c r="C1239" s="101"/>
      <c r="D1239" s="101"/>
      <c r="E1239" s="101"/>
      <c r="F1239" s="101"/>
      <c r="G1239" s="101"/>
      <c r="H1239" s="101"/>
      <c r="I1239" s="101"/>
      <c r="J1239" s="101"/>
      <c r="S1239" s="101"/>
      <c r="T1239" s="241"/>
      <c r="U1239" s="241"/>
      <c r="V1239" s="241"/>
      <c r="W1239" s="241"/>
      <c r="X1239" s="241"/>
      <c r="Y1239" s="241"/>
      <c r="Z1239" s="252"/>
    </row>
    <row r="1240" spans="3:26" ht="16.5">
      <c r="C1240" s="101"/>
      <c r="D1240" s="101"/>
      <c r="E1240" s="101"/>
      <c r="F1240" s="101"/>
      <c r="G1240" s="101"/>
      <c r="H1240" s="101"/>
      <c r="I1240" s="101"/>
      <c r="J1240" s="101"/>
      <c r="S1240" s="101"/>
      <c r="T1240" s="241"/>
      <c r="U1240" s="241"/>
      <c r="V1240" s="241"/>
      <c r="W1240" s="241"/>
      <c r="X1240" s="241"/>
      <c r="Y1240" s="241"/>
      <c r="Z1240" s="252"/>
    </row>
    <row r="1241" spans="3:26" ht="16.5">
      <c r="C1241" s="101"/>
      <c r="D1241" s="101"/>
      <c r="E1241" s="101"/>
      <c r="F1241" s="101"/>
      <c r="G1241" s="101"/>
      <c r="H1241" s="101"/>
      <c r="I1241" s="101"/>
      <c r="J1241" s="101"/>
      <c r="S1241" s="101"/>
      <c r="T1241" s="241"/>
      <c r="U1241" s="241"/>
      <c r="V1241" s="241"/>
      <c r="W1241" s="241"/>
      <c r="X1241" s="241"/>
      <c r="Y1241" s="241"/>
      <c r="Z1241" s="252"/>
    </row>
    <row r="1242" spans="3:26" ht="16.5">
      <c r="C1242" s="101"/>
      <c r="D1242" s="101"/>
      <c r="E1242" s="101"/>
      <c r="F1242" s="101"/>
      <c r="G1242" s="101"/>
      <c r="H1242" s="101"/>
      <c r="I1242" s="101"/>
      <c r="J1242" s="101"/>
      <c r="S1242" s="101"/>
      <c r="T1242" s="241"/>
      <c r="U1242" s="241"/>
      <c r="V1242" s="241"/>
      <c r="W1242" s="241"/>
      <c r="X1242" s="241"/>
      <c r="Y1242" s="241"/>
      <c r="Z1242" s="252"/>
    </row>
    <row r="1243" spans="3:26" ht="16.5">
      <c r="C1243" s="101"/>
      <c r="D1243" s="101"/>
      <c r="E1243" s="101"/>
      <c r="F1243" s="101"/>
      <c r="G1243" s="101"/>
      <c r="H1243" s="101"/>
      <c r="I1243" s="101"/>
      <c r="J1243" s="101"/>
      <c r="S1243" s="101"/>
      <c r="T1243" s="241"/>
      <c r="U1243" s="241"/>
      <c r="V1243" s="241"/>
      <c r="W1243" s="241"/>
      <c r="X1243" s="241"/>
      <c r="Y1243" s="241"/>
      <c r="Z1243" s="252"/>
    </row>
    <row r="1244" spans="3:26" ht="16.5">
      <c r="C1244" s="101"/>
      <c r="D1244" s="101"/>
      <c r="E1244" s="101"/>
      <c r="F1244" s="101"/>
      <c r="G1244" s="101"/>
      <c r="H1244" s="101"/>
      <c r="I1244" s="101"/>
      <c r="J1244" s="101"/>
      <c r="S1244" s="101"/>
      <c r="T1244" s="241"/>
      <c r="U1244" s="241"/>
      <c r="V1244" s="241"/>
      <c r="W1244" s="241"/>
      <c r="X1244" s="241"/>
      <c r="Y1244" s="241"/>
      <c r="Z1244" s="252"/>
    </row>
    <row r="1245" spans="3:26" ht="16.5">
      <c r="C1245" s="101"/>
      <c r="D1245" s="101"/>
      <c r="E1245" s="101"/>
      <c r="F1245" s="101"/>
      <c r="G1245" s="101"/>
      <c r="H1245" s="101"/>
      <c r="I1245" s="101"/>
      <c r="J1245" s="101"/>
      <c r="S1245" s="101"/>
      <c r="T1245" s="241"/>
      <c r="U1245" s="241"/>
      <c r="V1245" s="241"/>
      <c r="W1245" s="241"/>
      <c r="X1245" s="241"/>
      <c r="Y1245" s="241"/>
      <c r="Z1245" s="252"/>
    </row>
    <row r="1246" spans="3:26" ht="16.5">
      <c r="C1246" s="101"/>
      <c r="D1246" s="101"/>
      <c r="E1246" s="101"/>
      <c r="F1246" s="101"/>
      <c r="G1246" s="101"/>
      <c r="H1246" s="101"/>
      <c r="I1246" s="101"/>
      <c r="J1246" s="101"/>
      <c r="S1246" s="101"/>
      <c r="T1246" s="241"/>
      <c r="U1246" s="241"/>
      <c r="V1246" s="241"/>
      <c r="W1246" s="241"/>
      <c r="X1246" s="241"/>
      <c r="Y1246" s="241"/>
      <c r="Z1246" s="252"/>
    </row>
    <row r="1247" spans="3:26" ht="16.5">
      <c r="C1247" s="101"/>
      <c r="D1247" s="101"/>
      <c r="E1247" s="101"/>
      <c r="F1247" s="101"/>
      <c r="G1247" s="101"/>
      <c r="H1247" s="101"/>
      <c r="I1247" s="101"/>
      <c r="J1247" s="101"/>
      <c r="S1247" s="101"/>
      <c r="T1247" s="241"/>
      <c r="U1247" s="241"/>
      <c r="V1247" s="241"/>
      <c r="W1247" s="241"/>
      <c r="X1247" s="241"/>
      <c r="Y1247" s="241"/>
      <c r="Z1247" s="252"/>
    </row>
    <row r="1248" spans="3:26" ht="16.5">
      <c r="C1248" s="101"/>
      <c r="D1248" s="101"/>
      <c r="E1248" s="101"/>
      <c r="F1248" s="101"/>
      <c r="G1248" s="101"/>
      <c r="H1248" s="101"/>
      <c r="I1248" s="101"/>
      <c r="J1248" s="101"/>
      <c r="S1248" s="101"/>
      <c r="T1248" s="241"/>
      <c r="U1248" s="241"/>
      <c r="V1248" s="241"/>
      <c r="W1248" s="241"/>
      <c r="X1248" s="241"/>
      <c r="Y1248" s="241"/>
      <c r="Z1248" s="252"/>
    </row>
    <row r="1249" spans="3:26" ht="16.5">
      <c r="C1249" s="101"/>
      <c r="D1249" s="101"/>
      <c r="E1249" s="101"/>
      <c r="F1249" s="101"/>
      <c r="G1249" s="101"/>
      <c r="H1249" s="101"/>
      <c r="I1249" s="101"/>
      <c r="J1249" s="101"/>
      <c r="S1249" s="101"/>
      <c r="T1249" s="241"/>
      <c r="U1249" s="241"/>
      <c r="V1249" s="241"/>
      <c r="W1249" s="241"/>
      <c r="X1249" s="241"/>
      <c r="Y1249" s="241"/>
      <c r="Z1249" s="252"/>
    </row>
    <row r="1250" spans="3:26" ht="16.5">
      <c r="C1250" s="101"/>
      <c r="D1250" s="101"/>
      <c r="E1250" s="101"/>
      <c r="F1250" s="101"/>
      <c r="G1250" s="101"/>
      <c r="H1250" s="101"/>
      <c r="I1250" s="101"/>
      <c r="J1250" s="101"/>
      <c r="S1250" s="101"/>
      <c r="T1250" s="241"/>
      <c r="U1250" s="241"/>
      <c r="V1250" s="241"/>
      <c r="W1250" s="241"/>
      <c r="X1250" s="241"/>
      <c r="Y1250" s="241"/>
      <c r="Z1250" s="252"/>
    </row>
    <row r="1251" spans="3:26" ht="16.5">
      <c r="C1251" s="101"/>
      <c r="D1251" s="101"/>
      <c r="E1251" s="101"/>
      <c r="F1251" s="101"/>
      <c r="G1251" s="101"/>
      <c r="H1251" s="101"/>
      <c r="I1251" s="101"/>
      <c r="J1251" s="101"/>
      <c r="S1251" s="101"/>
      <c r="T1251" s="241"/>
      <c r="U1251" s="241"/>
      <c r="V1251" s="241"/>
      <c r="W1251" s="241"/>
      <c r="X1251" s="241"/>
      <c r="Y1251" s="241"/>
      <c r="Z1251" s="252"/>
    </row>
    <row r="1252" spans="3:26" ht="16.5">
      <c r="C1252" s="101"/>
      <c r="D1252" s="101"/>
      <c r="E1252" s="101"/>
      <c r="F1252" s="101"/>
      <c r="G1252" s="101"/>
      <c r="H1252" s="101"/>
      <c r="I1252" s="101"/>
      <c r="J1252" s="101"/>
      <c r="S1252" s="101"/>
      <c r="T1252" s="241"/>
      <c r="U1252" s="241"/>
      <c r="V1252" s="241"/>
      <c r="W1252" s="241"/>
      <c r="X1252" s="241"/>
      <c r="Y1252" s="241"/>
      <c r="Z1252" s="252"/>
    </row>
    <row r="1253" spans="3:26" ht="16.5">
      <c r="C1253" s="101"/>
      <c r="D1253" s="101"/>
      <c r="E1253" s="101"/>
      <c r="F1253" s="101"/>
      <c r="G1253" s="101"/>
      <c r="H1253" s="101"/>
      <c r="I1253" s="101"/>
      <c r="J1253" s="101"/>
      <c r="S1253" s="101"/>
      <c r="T1253" s="241"/>
      <c r="U1253" s="241"/>
      <c r="V1253" s="241"/>
      <c r="W1253" s="241"/>
      <c r="X1253" s="241"/>
      <c r="Y1253" s="241"/>
      <c r="Z1253" s="252"/>
    </row>
    <row r="1254" spans="3:26" ht="16.5">
      <c r="C1254" s="101"/>
      <c r="D1254" s="101"/>
      <c r="E1254" s="101"/>
      <c r="F1254" s="101"/>
      <c r="G1254" s="101"/>
      <c r="H1254" s="101"/>
      <c r="I1254" s="101"/>
      <c r="J1254" s="101"/>
      <c r="S1254" s="101"/>
      <c r="T1254" s="241"/>
      <c r="U1254" s="241"/>
      <c r="V1254" s="241"/>
      <c r="W1254" s="241"/>
      <c r="X1254" s="241"/>
      <c r="Y1254" s="241"/>
      <c r="Z1254" s="252"/>
    </row>
    <row r="1255" spans="3:26" ht="16.5">
      <c r="C1255" s="101"/>
      <c r="D1255" s="101"/>
      <c r="E1255" s="101"/>
      <c r="F1255" s="101"/>
      <c r="G1255" s="101"/>
      <c r="H1255" s="101"/>
      <c r="I1255" s="101"/>
      <c r="J1255" s="101"/>
      <c r="S1255" s="101"/>
      <c r="T1255" s="241"/>
      <c r="U1255" s="241"/>
      <c r="V1255" s="241"/>
      <c r="W1255" s="241"/>
      <c r="X1255" s="241"/>
      <c r="Y1255" s="241"/>
      <c r="Z1255" s="252"/>
    </row>
    <row r="1256" spans="3:26" ht="16.5">
      <c r="C1256" s="101"/>
      <c r="D1256" s="101"/>
      <c r="E1256" s="101"/>
      <c r="F1256" s="101"/>
      <c r="G1256" s="101"/>
      <c r="H1256" s="101"/>
      <c r="I1256" s="101"/>
      <c r="J1256" s="101"/>
      <c r="S1256" s="101"/>
      <c r="T1256" s="241"/>
      <c r="U1256" s="241"/>
      <c r="V1256" s="241"/>
      <c r="W1256" s="241"/>
      <c r="X1256" s="241"/>
      <c r="Y1256" s="241"/>
      <c r="Z1256" s="252"/>
    </row>
    <row r="1257" spans="3:26" ht="16.5">
      <c r="C1257" s="101"/>
      <c r="D1257" s="101"/>
      <c r="E1257" s="101"/>
      <c r="F1257" s="101"/>
      <c r="G1257" s="101"/>
      <c r="H1257" s="101"/>
      <c r="I1257" s="101"/>
      <c r="J1257" s="101"/>
      <c r="S1257" s="101"/>
      <c r="T1257" s="241"/>
      <c r="U1257" s="241"/>
      <c r="V1257" s="241"/>
      <c r="W1257" s="241"/>
      <c r="X1257" s="241"/>
      <c r="Y1257" s="241"/>
      <c r="Z1257" s="252"/>
    </row>
    <row r="1258" spans="3:26" ht="16.5">
      <c r="C1258" s="101"/>
      <c r="D1258" s="101"/>
      <c r="E1258" s="101"/>
      <c r="F1258" s="101"/>
      <c r="G1258" s="101"/>
      <c r="H1258" s="101"/>
      <c r="I1258" s="101"/>
      <c r="J1258" s="101"/>
      <c r="S1258" s="101"/>
      <c r="T1258" s="241"/>
      <c r="U1258" s="241"/>
      <c r="V1258" s="241"/>
      <c r="W1258" s="241"/>
      <c r="X1258" s="241"/>
      <c r="Y1258" s="241"/>
      <c r="Z1258" s="252"/>
    </row>
    <row r="1259" spans="3:26" ht="16.5">
      <c r="C1259" s="101"/>
      <c r="D1259" s="101"/>
      <c r="E1259" s="101"/>
      <c r="F1259" s="101"/>
      <c r="G1259" s="101"/>
      <c r="H1259" s="101"/>
      <c r="I1259" s="101"/>
      <c r="J1259" s="101"/>
      <c r="S1259" s="101"/>
      <c r="T1259" s="241"/>
      <c r="U1259" s="241"/>
      <c r="V1259" s="241"/>
      <c r="W1259" s="241"/>
      <c r="X1259" s="241"/>
      <c r="Y1259" s="241"/>
      <c r="Z1259" s="252"/>
    </row>
    <row r="1260" spans="3:26" ht="16.5">
      <c r="C1260" s="101"/>
      <c r="D1260" s="101"/>
      <c r="E1260" s="101"/>
      <c r="F1260" s="101"/>
      <c r="G1260" s="101"/>
      <c r="H1260" s="101"/>
      <c r="I1260" s="101"/>
      <c r="J1260" s="101"/>
      <c r="S1260" s="101"/>
      <c r="T1260" s="241"/>
      <c r="U1260" s="241"/>
      <c r="V1260" s="241"/>
      <c r="W1260" s="241"/>
      <c r="X1260" s="241"/>
      <c r="Y1260" s="241"/>
      <c r="Z1260" s="252"/>
    </row>
    <row r="1261" spans="3:26" ht="16.5">
      <c r="C1261" s="101"/>
      <c r="D1261" s="101"/>
      <c r="E1261" s="101"/>
      <c r="F1261" s="101"/>
      <c r="G1261" s="101"/>
      <c r="H1261" s="101"/>
      <c r="I1261" s="101"/>
      <c r="J1261" s="101"/>
      <c r="S1261" s="101"/>
      <c r="T1261" s="241"/>
      <c r="U1261" s="241"/>
      <c r="V1261" s="241"/>
      <c r="W1261" s="241"/>
      <c r="X1261" s="241"/>
      <c r="Y1261" s="241"/>
      <c r="Z1261" s="252"/>
    </row>
    <row r="1262" spans="3:26" ht="16.5">
      <c r="C1262" s="101"/>
      <c r="D1262" s="101"/>
      <c r="E1262" s="101"/>
      <c r="F1262" s="101"/>
      <c r="G1262" s="101"/>
      <c r="H1262" s="101"/>
      <c r="I1262" s="101"/>
      <c r="J1262" s="101"/>
      <c r="S1262" s="101"/>
      <c r="T1262" s="241"/>
      <c r="U1262" s="241"/>
      <c r="V1262" s="241"/>
      <c r="W1262" s="241"/>
      <c r="X1262" s="241"/>
      <c r="Y1262" s="241"/>
      <c r="Z1262" s="252"/>
    </row>
    <row r="1263" spans="3:26" ht="16.5">
      <c r="C1263" s="101"/>
      <c r="D1263" s="101"/>
      <c r="E1263" s="101"/>
      <c r="F1263" s="101"/>
      <c r="G1263" s="101"/>
      <c r="H1263" s="101"/>
      <c r="I1263" s="101"/>
      <c r="J1263" s="101"/>
      <c r="S1263" s="101"/>
      <c r="T1263" s="241"/>
      <c r="U1263" s="241"/>
      <c r="V1263" s="241"/>
      <c r="W1263" s="241"/>
      <c r="X1263" s="241"/>
      <c r="Y1263" s="241"/>
      <c r="Z1263" s="252"/>
    </row>
    <row r="1264" spans="3:26" ht="16.5">
      <c r="C1264" s="101"/>
      <c r="D1264" s="101"/>
      <c r="E1264" s="101"/>
      <c r="F1264" s="101"/>
      <c r="G1264" s="101"/>
      <c r="H1264" s="101"/>
      <c r="I1264" s="101"/>
      <c r="J1264" s="101"/>
      <c r="S1264" s="101"/>
      <c r="T1264" s="241"/>
      <c r="U1264" s="241"/>
      <c r="V1264" s="241"/>
      <c r="W1264" s="241"/>
      <c r="X1264" s="241"/>
      <c r="Y1264" s="241"/>
      <c r="Z1264" s="252"/>
    </row>
    <row r="1265" spans="3:26" ht="16.5">
      <c r="C1265" s="101"/>
      <c r="D1265" s="101"/>
      <c r="E1265" s="101"/>
      <c r="F1265" s="101"/>
      <c r="G1265" s="101"/>
      <c r="H1265" s="101"/>
      <c r="I1265" s="101"/>
      <c r="J1265" s="101"/>
      <c r="S1265" s="101"/>
      <c r="T1265" s="241"/>
      <c r="U1265" s="241"/>
      <c r="V1265" s="241"/>
      <c r="W1265" s="241"/>
      <c r="X1265" s="241"/>
      <c r="Y1265" s="241"/>
      <c r="Z1265" s="252"/>
    </row>
    <row r="1266" spans="3:26" ht="16.5">
      <c r="C1266" s="101"/>
      <c r="D1266" s="101"/>
      <c r="E1266" s="101"/>
      <c r="F1266" s="101"/>
      <c r="G1266" s="101"/>
      <c r="H1266" s="101"/>
      <c r="I1266" s="101"/>
      <c r="J1266" s="101"/>
      <c r="S1266" s="101"/>
      <c r="T1266" s="241"/>
      <c r="U1266" s="241"/>
      <c r="V1266" s="241"/>
      <c r="W1266" s="241"/>
      <c r="X1266" s="241"/>
      <c r="Y1266" s="241"/>
      <c r="Z1266" s="252"/>
    </row>
    <row r="1267" spans="3:26" ht="16.5">
      <c r="C1267" s="101"/>
      <c r="D1267" s="101"/>
      <c r="E1267" s="101"/>
      <c r="F1267" s="101"/>
      <c r="G1267" s="101"/>
      <c r="H1267" s="101"/>
      <c r="I1267" s="101"/>
      <c r="J1267" s="101"/>
      <c r="S1267" s="101"/>
      <c r="T1267" s="241"/>
      <c r="U1267" s="241"/>
      <c r="V1267" s="241"/>
      <c r="W1267" s="241"/>
      <c r="X1267" s="241"/>
      <c r="Y1267" s="241"/>
      <c r="Z1267" s="252"/>
    </row>
    <row r="1268" spans="3:26" ht="16.5">
      <c r="C1268" s="101"/>
      <c r="D1268" s="101"/>
      <c r="E1268" s="101"/>
      <c r="F1268" s="101"/>
      <c r="G1268" s="101"/>
      <c r="H1268" s="101"/>
      <c r="I1268" s="101"/>
      <c r="J1268" s="101"/>
      <c r="S1268" s="101"/>
      <c r="T1268" s="241"/>
      <c r="U1268" s="241"/>
      <c r="V1268" s="241"/>
      <c r="W1268" s="241"/>
      <c r="X1268" s="241"/>
      <c r="Y1268" s="241"/>
      <c r="Z1268" s="252"/>
    </row>
    <row r="1269" spans="3:26" ht="16.5">
      <c r="C1269" s="101"/>
      <c r="D1269" s="101"/>
      <c r="E1269" s="101"/>
      <c r="F1269" s="101"/>
      <c r="G1269" s="101"/>
      <c r="H1269" s="101"/>
      <c r="I1269" s="101"/>
      <c r="J1269" s="101"/>
      <c r="S1269" s="101"/>
      <c r="T1269" s="241"/>
      <c r="U1269" s="241"/>
      <c r="V1269" s="241"/>
      <c r="W1269" s="241"/>
      <c r="X1269" s="241"/>
      <c r="Y1269" s="241"/>
      <c r="Z1269" s="252"/>
    </row>
    <row r="1270" spans="3:26" ht="16.5">
      <c r="C1270" s="101"/>
      <c r="D1270" s="101"/>
      <c r="E1270" s="101"/>
      <c r="F1270" s="101"/>
      <c r="G1270" s="101"/>
      <c r="H1270" s="101"/>
      <c r="I1270" s="101"/>
      <c r="J1270" s="101"/>
      <c r="S1270" s="101"/>
      <c r="T1270" s="241"/>
      <c r="U1270" s="241"/>
      <c r="V1270" s="241"/>
      <c r="W1270" s="241"/>
      <c r="X1270" s="241"/>
      <c r="Y1270" s="241"/>
      <c r="Z1270" s="252"/>
    </row>
    <row r="1271" spans="3:26" ht="16.5">
      <c r="C1271" s="101"/>
      <c r="D1271" s="101"/>
      <c r="E1271" s="101"/>
      <c r="F1271" s="101"/>
      <c r="G1271" s="101"/>
      <c r="H1271" s="101"/>
      <c r="I1271" s="101"/>
      <c r="J1271" s="101"/>
      <c r="S1271" s="101"/>
      <c r="T1271" s="241"/>
      <c r="U1271" s="241"/>
      <c r="V1271" s="241"/>
      <c r="W1271" s="241"/>
      <c r="X1271" s="241"/>
      <c r="Y1271" s="241"/>
      <c r="Z1271" s="252"/>
    </row>
    <row r="1272" spans="3:26" ht="16.5">
      <c r="C1272" s="101"/>
      <c r="D1272" s="101"/>
      <c r="E1272" s="101"/>
      <c r="F1272" s="101"/>
      <c r="G1272" s="101"/>
      <c r="H1272" s="101"/>
      <c r="I1272" s="101"/>
      <c r="J1272" s="101"/>
      <c r="S1272" s="101"/>
      <c r="T1272" s="241"/>
      <c r="U1272" s="241"/>
      <c r="V1272" s="241"/>
      <c r="W1272" s="241"/>
      <c r="X1272" s="241"/>
      <c r="Y1272" s="241"/>
      <c r="Z1272" s="252"/>
    </row>
    <row r="1273" spans="3:26" ht="16.5">
      <c r="C1273" s="101"/>
      <c r="D1273" s="101"/>
      <c r="E1273" s="101"/>
      <c r="F1273" s="101"/>
      <c r="G1273" s="101"/>
      <c r="H1273" s="101"/>
      <c r="I1273" s="101"/>
      <c r="J1273" s="101"/>
      <c r="S1273" s="101"/>
      <c r="T1273" s="241"/>
      <c r="U1273" s="241"/>
      <c r="V1273" s="241"/>
      <c r="W1273" s="241"/>
      <c r="X1273" s="241"/>
      <c r="Y1273" s="241"/>
      <c r="Z1273" s="252"/>
    </row>
    <row r="1274" spans="3:26" ht="16.5">
      <c r="C1274" s="101"/>
      <c r="D1274" s="101"/>
      <c r="E1274" s="101"/>
      <c r="F1274" s="101"/>
      <c r="G1274" s="101"/>
      <c r="H1274" s="101"/>
      <c r="I1274" s="101"/>
      <c r="J1274" s="101"/>
      <c r="S1274" s="101"/>
      <c r="T1274" s="241"/>
      <c r="U1274" s="241"/>
      <c r="V1274" s="241"/>
      <c r="W1274" s="241"/>
      <c r="X1274" s="241"/>
      <c r="Y1274" s="241"/>
      <c r="Z1274" s="252"/>
    </row>
    <row r="1275" spans="3:26" ht="16.5">
      <c r="C1275" s="101"/>
      <c r="D1275" s="101"/>
      <c r="E1275" s="101"/>
      <c r="F1275" s="101"/>
      <c r="G1275" s="101"/>
      <c r="H1275" s="101"/>
      <c r="I1275" s="101"/>
      <c r="J1275" s="101"/>
      <c r="S1275" s="101"/>
      <c r="T1275" s="241"/>
      <c r="U1275" s="241"/>
      <c r="V1275" s="241"/>
      <c r="W1275" s="241"/>
      <c r="X1275" s="241"/>
      <c r="Y1275" s="241"/>
      <c r="Z1275" s="252"/>
    </row>
    <row r="1276" spans="3:26" ht="16.5">
      <c r="C1276" s="101"/>
      <c r="D1276" s="101"/>
      <c r="E1276" s="101"/>
      <c r="F1276" s="101"/>
      <c r="G1276" s="101"/>
      <c r="H1276" s="101"/>
      <c r="I1276" s="101"/>
      <c r="J1276" s="101"/>
      <c r="S1276" s="101"/>
      <c r="T1276" s="241"/>
      <c r="U1276" s="241"/>
      <c r="V1276" s="241"/>
      <c r="W1276" s="241"/>
      <c r="X1276" s="241"/>
      <c r="Y1276" s="241"/>
      <c r="Z1276" s="252"/>
    </row>
    <row r="1277" spans="3:26" ht="16.5">
      <c r="C1277" s="101"/>
      <c r="D1277" s="101"/>
      <c r="E1277" s="101"/>
      <c r="F1277" s="101"/>
      <c r="G1277" s="101"/>
      <c r="H1277" s="101"/>
      <c r="I1277" s="101"/>
      <c r="J1277" s="101"/>
      <c r="S1277" s="101"/>
      <c r="T1277" s="241"/>
      <c r="U1277" s="241"/>
      <c r="V1277" s="241"/>
      <c r="W1277" s="241"/>
      <c r="X1277" s="241"/>
      <c r="Y1277" s="241"/>
      <c r="Z1277" s="252"/>
    </row>
    <row r="1278" spans="3:26" ht="16.5">
      <c r="C1278" s="101"/>
      <c r="D1278" s="101"/>
      <c r="E1278" s="101"/>
      <c r="F1278" s="101"/>
      <c r="G1278" s="101"/>
      <c r="H1278" s="101"/>
      <c r="I1278" s="101"/>
      <c r="J1278" s="101"/>
      <c r="S1278" s="101"/>
      <c r="T1278" s="241"/>
      <c r="U1278" s="241"/>
      <c r="V1278" s="241"/>
      <c r="W1278" s="241"/>
      <c r="X1278" s="241"/>
      <c r="Y1278" s="241"/>
      <c r="Z1278" s="252"/>
    </row>
    <row r="1279" spans="3:26" ht="16.5">
      <c r="C1279" s="101"/>
      <c r="D1279" s="101"/>
      <c r="E1279" s="101"/>
      <c r="F1279" s="101"/>
      <c r="G1279" s="101"/>
      <c r="H1279" s="101"/>
      <c r="I1279" s="101"/>
      <c r="J1279" s="101"/>
      <c r="S1279" s="101"/>
      <c r="T1279" s="241"/>
      <c r="U1279" s="241"/>
      <c r="V1279" s="241"/>
      <c r="W1279" s="241"/>
      <c r="X1279" s="241"/>
      <c r="Y1279" s="241"/>
      <c r="Z1279" s="252"/>
    </row>
    <row r="1280" spans="3:26" ht="16.5">
      <c r="C1280" s="101"/>
      <c r="D1280" s="101"/>
      <c r="E1280" s="101"/>
      <c r="F1280" s="101"/>
      <c r="G1280" s="101"/>
      <c r="H1280" s="101"/>
      <c r="I1280" s="101"/>
      <c r="J1280" s="101"/>
      <c r="S1280" s="101"/>
      <c r="T1280" s="241"/>
      <c r="U1280" s="241"/>
      <c r="V1280" s="241"/>
      <c r="W1280" s="241"/>
      <c r="X1280" s="241"/>
      <c r="Y1280" s="241"/>
      <c r="Z1280" s="252"/>
    </row>
    <row r="1281" spans="3:26" ht="16.5">
      <c r="C1281" s="101"/>
      <c r="D1281" s="101"/>
      <c r="E1281" s="101"/>
      <c r="F1281" s="101"/>
      <c r="G1281" s="101"/>
      <c r="H1281" s="101"/>
      <c r="I1281" s="101"/>
      <c r="J1281" s="101"/>
      <c r="S1281" s="101"/>
      <c r="T1281" s="241"/>
      <c r="U1281" s="241"/>
      <c r="V1281" s="241"/>
      <c r="W1281" s="241"/>
      <c r="X1281" s="241"/>
      <c r="Y1281" s="241"/>
      <c r="Z1281" s="252"/>
    </row>
    <row r="1282" spans="3:26" ht="16.5">
      <c r="C1282" s="101"/>
      <c r="D1282" s="101"/>
      <c r="E1282" s="101"/>
      <c r="F1282" s="101"/>
      <c r="G1282" s="101"/>
      <c r="H1282" s="101"/>
      <c r="I1282" s="101"/>
      <c r="J1282" s="101"/>
      <c r="S1282" s="101"/>
      <c r="T1282" s="241"/>
      <c r="U1282" s="241"/>
      <c r="V1282" s="241"/>
      <c r="W1282" s="241"/>
      <c r="X1282" s="241"/>
      <c r="Y1282" s="241"/>
      <c r="Z1282" s="252"/>
    </row>
    <row r="1283" spans="3:26" ht="16.5">
      <c r="C1283" s="101"/>
      <c r="D1283" s="101"/>
      <c r="E1283" s="101"/>
      <c r="F1283" s="101"/>
      <c r="G1283" s="101"/>
      <c r="H1283" s="101"/>
      <c r="I1283" s="101"/>
      <c r="J1283" s="101"/>
      <c r="S1283" s="101"/>
      <c r="T1283" s="241"/>
      <c r="U1283" s="241"/>
      <c r="V1283" s="241"/>
      <c r="W1283" s="241"/>
      <c r="X1283" s="241"/>
      <c r="Y1283" s="241"/>
      <c r="Z1283" s="252"/>
    </row>
    <row r="1284" spans="3:26" ht="16.5">
      <c r="C1284" s="101"/>
      <c r="D1284" s="101"/>
      <c r="E1284" s="101"/>
      <c r="F1284" s="101"/>
      <c r="G1284" s="101"/>
      <c r="H1284" s="101"/>
      <c r="I1284" s="101"/>
      <c r="J1284" s="101"/>
      <c r="S1284" s="101"/>
      <c r="T1284" s="241"/>
      <c r="U1284" s="241"/>
      <c r="V1284" s="241"/>
      <c r="W1284" s="241"/>
      <c r="X1284" s="241"/>
      <c r="Y1284" s="241"/>
      <c r="Z1284" s="252"/>
    </row>
    <row r="1285" spans="3:26" ht="16.5">
      <c r="C1285" s="101"/>
      <c r="D1285" s="101"/>
      <c r="E1285" s="101"/>
      <c r="F1285" s="101"/>
      <c r="G1285" s="101"/>
      <c r="H1285" s="101"/>
      <c r="I1285" s="101"/>
      <c r="J1285" s="101"/>
      <c r="S1285" s="101"/>
      <c r="T1285" s="241"/>
      <c r="U1285" s="241"/>
      <c r="V1285" s="241"/>
      <c r="W1285" s="241"/>
      <c r="X1285" s="241"/>
      <c r="Y1285" s="241"/>
      <c r="Z1285" s="252"/>
    </row>
    <row r="1286" spans="3:26" ht="16.5">
      <c r="C1286" s="101"/>
      <c r="D1286" s="101"/>
      <c r="E1286" s="101"/>
      <c r="F1286" s="101"/>
      <c r="G1286" s="101"/>
      <c r="H1286" s="101"/>
      <c r="I1286" s="101"/>
      <c r="J1286" s="101"/>
      <c r="S1286" s="101"/>
      <c r="T1286" s="241"/>
      <c r="U1286" s="241"/>
      <c r="V1286" s="241"/>
      <c r="W1286" s="241"/>
      <c r="X1286" s="241"/>
      <c r="Y1286" s="241"/>
      <c r="Z1286" s="252"/>
    </row>
    <row r="1287" spans="3:26" ht="16.5">
      <c r="C1287" s="101"/>
      <c r="D1287" s="101"/>
      <c r="E1287" s="101"/>
      <c r="F1287" s="101"/>
      <c r="G1287" s="101"/>
      <c r="H1287" s="101"/>
      <c r="I1287" s="101"/>
      <c r="J1287" s="101"/>
      <c r="S1287" s="101"/>
      <c r="T1287" s="241"/>
      <c r="U1287" s="241"/>
      <c r="V1287" s="241"/>
      <c r="W1287" s="241"/>
      <c r="X1287" s="241"/>
      <c r="Y1287" s="241"/>
      <c r="Z1287" s="252"/>
    </row>
    <row r="1288" spans="3:26" ht="16.5">
      <c r="C1288" s="101"/>
      <c r="D1288" s="101"/>
      <c r="E1288" s="101"/>
      <c r="F1288" s="101"/>
      <c r="G1288" s="101"/>
      <c r="H1288" s="101"/>
      <c r="I1288" s="101"/>
      <c r="J1288" s="101"/>
      <c r="S1288" s="101"/>
      <c r="T1288" s="241"/>
      <c r="U1288" s="241"/>
      <c r="V1288" s="241"/>
      <c r="W1288" s="241"/>
      <c r="X1288" s="241"/>
      <c r="Y1288" s="241"/>
      <c r="Z1288" s="252"/>
    </row>
    <row r="1289" spans="3:26" ht="16.5">
      <c r="C1289" s="101"/>
      <c r="D1289" s="101"/>
      <c r="E1289" s="101"/>
      <c r="F1289" s="101"/>
      <c r="G1289" s="101"/>
      <c r="H1289" s="101"/>
      <c r="I1289" s="101"/>
      <c r="J1289" s="101"/>
      <c r="S1289" s="101"/>
      <c r="T1289" s="241"/>
      <c r="U1289" s="241"/>
      <c r="V1289" s="241"/>
      <c r="W1289" s="241"/>
      <c r="X1289" s="241"/>
      <c r="Y1289" s="241"/>
      <c r="Z1289" s="252"/>
    </row>
    <row r="1290" spans="3:26" ht="16.5">
      <c r="C1290" s="101"/>
      <c r="D1290" s="101"/>
      <c r="E1290" s="101"/>
      <c r="F1290" s="101"/>
      <c r="G1290" s="101"/>
      <c r="H1290" s="101"/>
      <c r="I1290" s="101"/>
      <c r="J1290" s="101"/>
      <c r="S1290" s="101"/>
      <c r="T1290" s="241"/>
      <c r="U1290" s="241"/>
      <c r="V1290" s="241"/>
      <c r="W1290" s="241"/>
      <c r="X1290" s="241"/>
      <c r="Y1290" s="241"/>
      <c r="Z1290" s="252"/>
    </row>
    <row r="1291" spans="3:26" ht="16.5">
      <c r="C1291" s="101"/>
      <c r="D1291" s="101"/>
      <c r="E1291" s="101"/>
      <c r="F1291" s="101"/>
      <c r="G1291" s="101"/>
      <c r="H1291" s="101"/>
      <c r="I1291" s="101"/>
      <c r="J1291" s="101"/>
      <c r="S1291" s="101"/>
      <c r="T1291" s="241"/>
      <c r="U1291" s="241"/>
      <c r="V1291" s="241"/>
      <c r="W1291" s="241"/>
      <c r="X1291" s="241"/>
      <c r="Y1291" s="241"/>
      <c r="Z1291" s="252"/>
    </row>
    <row r="1292" spans="3:26" ht="16.5">
      <c r="C1292" s="101"/>
      <c r="D1292" s="101"/>
      <c r="E1292" s="101"/>
      <c r="F1292" s="101"/>
      <c r="G1292" s="101"/>
      <c r="H1292" s="101"/>
      <c r="I1292" s="101"/>
      <c r="J1292" s="101"/>
      <c r="S1292" s="101"/>
      <c r="T1292" s="241"/>
      <c r="U1292" s="241"/>
      <c r="V1292" s="241"/>
      <c r="W1292" s="241"/>
      <c r="X1292" s="241"/>
      <c r="Y1292" s="241"/>
      <c r="Z1292" s="252"/>
    </row>
    <row r="1293" spans="3:26" ht="16.5">
      <c r="C1293" s="101"/>
      <c r="D1293" s="101"/>
      <c r="E1293" s="101"/>
      <c r="F1293" s="101"/>
      <c r="G1293" s="101"/>
      <c r="H1293" s="101"/>
      <c r="I1293" s="101"/>
      <c r="J1293" s="101"/>
      <c r="S1293" s="101"/>
      <c r="T1293" s="241"/>
      <c r="U1293" s="241"/>
      <c r="V1293" s="241"/>
      <c r="W1293" s="241"/>
      <c r="X1293" s="241"/>
      <c r="Y1293" s="241"/>
      <c r="Z1293" s="252"/>
    </row>
    <row r="1294" spans="3:26" ht="16.5">
      <c r="C1294" s="101"/>
      <c r="D1294" s="101"/>
      <c r="E1294" s="101"/>
      <c r="F1294" s="101"/>
      <c r="G1294" s="101"/>
      <c r="H1294" s="101"/>
      <c r="I1294" s="101"/>
      <c r="J1294" s="101"/>
      <c r="S1294" s="101"/>
      <c r="T1294" s="241"/>
      <c r="U1294" s="241"/>
      <c r="V1294" s="241"/>
      <c r="W1294" s="241"/>
      <c r="X1294" s="241"/>
      <c r="Y1294" s="241"/>
      <c r="Z1294" s="252"/>
    </row>
    <row r="1295" spans="3:26" ht="16.5">
      <c r="C1295" s="101"/>
      <c r="D1295" s="101"/>
      <c r="E1295" s="101"/>
      <c r="F1295" s="101"/>
      <c r="G1295" s="101"/>
      <c r="H1295" s="101"/>
      <c r="I1295" s="101"/>
      <c r="J1295" s="101"/>
      <c r="S1295" s="101"/>
      <c r="T1295" s="241"/>
      <c r="U1295" s="241"/>
      <c r="V1295" s="241"/>
      <c r="W1295" s="241"/>
      <c r="X1295" s="241"/>
      <c r="Y1295" s="241"/>
      <c r="Z1295" s="252"/>
    </row>
    <row r="1296" spans="3:26" ht="16.5">
      <c r="C1296" s="101"/>
      <c r="D1296" s="101"/>
      <c r="E1296" s="101"/>
      <c r="F1296" s="101"/>
      <c r="G1296" s="101"/>
      <c r="H1296" s="101"/>
      <c r="I1296" s="101"/>
      <c r="J1296" s="101"/>
      <c r="S1296" s="101"/>
      <c r="T1296" s="241"/>
      <c r="U1296" s="241"/>
      <c r="V1296" s="241"/>
      <c r="W1296" s="241"/>
      <c r="X1296" s="241"/>
      <c r="Y1296" s="241"/>
      <c r="Z1296" s="252"/>
    </row>
    <row r="1297" spans="3:26" ht="16.5">
      <c r="C1297" s="101"/>
      <c r="D1297" s="101"/>
      <c r="E1297" s="101"/>
      <c r="F1297" s="101"/>
      <c r="G1297" s="101"/>
      <c r="H1297" s="101"/>
      <c r="I1297" s="101"/>
      <c r="J1297" s="101"/>
      <c r="S1297" s="101"/>
      <c r="T1297" s="241"/>
      <c r="U1297" s="241"/>
      <c r="V1297" s="241"/>
      <c r="W1297" s="241"/>
      <c r="X1297" s="241"/>
      <c r="Y1297" s="241"/>
      <c r="Z1297" s="252"/>
    </row>
    <row r="1298" spans="3:26" ht="16.5">
      <c r="C1298" s="101"/>
      <c r="D1298" s="101"/>
      <c r="E1298" s="101"/>
      <c r="F1298" s="101"/>
      <c r="G1298" s="101"/>
      <c r="H1298" s="101"/>
      <c r="I1298" s="101"/>
      <c r="J1298" s="101"/>
      <c r="S1298" s="101"/>
      <c r="T1298" s="241"/>
      <c r="U1298" s="241"/>
      <c r="V1298" s="241"/>
      <c r="W1298" s="241"/>
      <c r="X1298" s="241"/>
      <c r="Y1298" s="241"/>
      <c r="Z1298" s="252"/>
    </row>
    <row r="1299" spans="3:26" ht="16.5">
      <c r="C1299" s="101"/>
      <c r="D1299" s="101"/>
      <c r="E1299" s="101"/>
      <c r="F1299" s="101"/>
      <c r="G1299" s="101"/>
      <c r="H1299" s="101"/>
      <c r="I1299" s="101"/>
      <c r="J1299" s="101"/>
      <c r="S1299" s="101"/>
      <c r="T1299" s="241"/>
      <c r="U1299" s="241"/>
      <c r="V1299" s="241"/>
      <c r="W1299" s="241"/>
      <c r="X1299" s="241"/>
      <c r="Y1299" s="241"/>
      <c r="Z1299" s="252"/>
    </row>
    <row r="1300" spans="3:26" ht="16.5">
      <c r="C1300" s="101"/>
      <c r="D1300" s="101"/>
      <c r="E1300" s="101"/>
      <c r="F1300" s="101"/>
      <c r="G1300" s="101"/>
      <c r="H1300" s="101"/>
      <c r="I1300" s="101"/>
      <c r="J1300" s="101"/>
      <c r="S1300" s="101"/>
      <c r="T1300" s="241"/>
      <c r="U1300" s="241"/>
      <c r="V1300" s="241"/>
      <c r="W1300" s="241"/>
      <c r="X1300" s="241"/>
      <c r="Y1300" s="241"/>
      <c r="Z1300" s="252"/>
    </row>
    <row r="1301" spans="3:26" ht="16.5">
      <c r="C1301" s="101"/>
      <c r="D1301" s="101"/>
      <c r="E1301" s="101"/>
      <c r="F1301" s="101"/>
      <c r="G1301" s="101"/>
      <c r="H1301" s="101"/>
      <c r="I1301" s="101"/>
      <c r="J1301" s="101"/>
      <c r="S1301" s="101"/>
      <c r="T1301" s="241"/>
      <c r="U1301" s="241"/>
      <c r="V1301" s="241"/>
      <c r="W1301" s="241"/>
      <c r="X1301" s="241"/>
      <c r="Y1301" s="241"/>
      <c r="Z1301" s="252"/>
    </row>
    <row r="1302" spans="3:26" ht="16.5">
      <c r="C1302" s="101"/>
      <c r="D1302" s="101"/>
      <c r="E1302" s="101"/>
      <c r="F1302" s="101"/>
      <c r="G1302" s="101"/>
      <c r="H1302" s="101"/>
      <c r="I1302" s="101"/>
      <c r="J1302" s="101"/>
      <c r="S1302" s="101"/>
      <c r="T1302" s="241"/>
      <c r="U1302" s="241"/>
      <c r="V1302" s="241"/>
      <c r="W1302" s="241"/>
      <c r="X1302" s="241"/>
      <c r="Y1302" s="241"/>
      <c r="Z1302" s="252"/>
    </row>
    <row r="1303" spans="3:26" ht="16.5">
      <c r="C1303" s="101"/>
      <c r="D1303" s="101"/>
      <c r="E1303" s="101"/>
      <c r="F1303" s="101"/>
      <c r="G1303" s="101"/>
      <c r="H1303" s="101"/>
      <c r="I1303" s="101"/>
      <c r="J1303" s="101"/>
      <c r="S1303" s="101"/>
      <c r="T1303" s="241"/>
      <c r="U1303" s="241"/>
      <c r="V1303" s="241"/>
      <c r="W1303" s="241"/>
      <c r="X1303" s="241"/>
      <c r="Y1303" s="241"/>
      <c r="Z1303" s="252"/>
    </row>
    <row r="1304" spans="3:26" ht="16.5">
      <c r="C1304" s="101"/>
      <c r="D1304" s="101"/>
      <c r="E1304" s="101"/>
      <c r="F1304" s="101"/>
      <c r="G1304" s="101"/>
      <c r="H1304" s="101"/>
      <c r="I1304" s="101"/>
      <c r="J1304" s="101"/>
      <c r="S1304" s="101"/>
      <c r="T1304" s="241"/>
      <c r="U1304" s="241"/>
      <c r="V1304" s="241"/>
      <c r="W1304" s="241"/>
      <c r="X1304" s="241"/>
      <c r="Y1304" s="241"/>
      <c r="Z1304" s="252"/>
    </row>
    <row r="1305" spans="3:26" ht="16.5">
      <c r="C1305" s="101"/>
      <c r="D1305" s="101"/>
      <c r="E1305" s="101"/>
      <c r="F1305" s="101"/>
      <c r="G1305" s="101"/>
      <c r="H1305" s="101"/>
      <c r="I1305" s="101"/>
      <c r="J1305" s="101"/>
      <c r="S1305" s="101"/>
      <c r="T1305" s="241"/>
      <c r="U1305" s="241"/>
      <c r="V1305" s="241"/>
      <c r="W1305" s="241"/>
      <c r="X1305" s="241"/>
      <c r="Y1305" s="241"/>
      <c r="Z1305" s="252"/>
    </row>
    <row r="1306" spans="3:26" ht="16.5">
      <c r="C1306" s="101"/>
      <c r="D1306" s="101"/>
      <c r="E1306" s="101"/>
      <c r="F1306" s="101"/>
      <c r="G1306" s="101"/>
      <c r="H1306" s="101"/>
      <c r="I1306" s="101"/>
      <c r="J1306" s="101"/>
      <c r="S1306" s="101"/>
      <c r="T1306" s="241"/>
      <c r="U1306" s="241"/>
      <c r="V1306" s="241"/>
      <c r="W1306" s="241"/>
      <c r="X1306" s="241"/>
      <c r="Y1306" s="241"/>
      <c r="Z1306" s="252"/>
    </row>
    <row r="1307" spans="3:26" ht="16.5">
      <c r="C1307" s="101"/>
      <c r="D1307" s="101"/>
      <c r="E1307" s="101"/>
      <c r="F1307" s="101"/>
      <c r="G1307" s="101"/>
      <c r="H1307" s="101"/>
      <c r="I1307" s="101"/>
      <c r="J1307" s="101"/>
      <c r="S1307" s="101"/>
      <c r="T1307" s="241"/>
      <c r="U1307" s="241"/>
      <c r="V1307" s="241"/>
      <c r="W1307" s="241"/>
      <c r="X1307" s="241"/>
      <c r="Y1307" s="241"/>
      <c r="Z1307" s="252"/>
    </row>
    <row r="1308" spans="3:26" ht="16.5">
      <c r="C1308" s="101"/>
      <c r="D1308" s="101"/>
      <c r="E1308" s="101"/>
      <c r="F1308" s="101"/>
      <c r="G1308" s="101"/>
      <c r="H1308" s="101"/>
      <c r="I1308" s="101"/>
      <c r="J1308" s="101"/>
      <c r="S1308" s="101"/>
      <c r="T1308" s="241"/>
      <c r="U1308" s="241"/>
      <c r="V1308" s="241"/>
      <c r="W1308" s="241"/>
      <c r="X1308" s="241"/>
      <c r="Y1308" s="241"/>
      <c r="Z1308" s="252"/>
    </row>
    <row r="1309" spans="3:26" ht="16.5">
      <c r="C1309" s="101"/>
      <c r="D1309" s="101"/>
      <c r="E1309" s="101"/>
      <c r="F1309" s="101"/>
      <c r="G1309" s="101"/>
      <c r="H1309" s="101"/>
      <c r="I1309" s="101"/>
      <c r="J1309" s="101"/>
      <c r="S1309" s="101"/>
      <c r="T1309" s="241"/>
      <c r="U1309" s="241"/>
      <c r="V1309" s="241"/>
      <c r="W1309" s="241"/>
      <c r="X1309" s="241"/>
      <c r="Y1309" s="241"/>
      <c r="Z1309" s="252"/>
    </row>
    <row r="1310" spans="3:26" ht="16.5">
      <c r="C1310" s="101"/>
      <c r="D1310" s="101"/>
      <c r="E1310" s="101"/>
      <c r="F1310" s="101"/>
      <c r="G1310" s="101"/>
      <c r="H1310" s="101"/>
      <c r="I1310" s="101"/>
      <c r="J1310" s="101"/>
      <c r="S1310" s="101"/>
      <c r="T1310" s="241"/>
      <c r="U1310" s="241"/>
      <c r="V1310" s="241"/>
      <c r="W1310" s="241"/>
      <c r="X1310" s="241"/>
      <c r="Y1310" s="241"/>
      <c r="Z1310" s="252"/>
    </row>
    <row r="1311" spans="3:26" ht="16.5">
      <c r="C1311" s="101"/>
      <c r="D1311" s="101"/>
      <c r="E1311" s="101"/>
      <c r="F1311" s="101"/>
      <c r="G1311" s="101"/>
      <c r="H1311" s="101"/>
      <c r="I1311" s="101"/>
      <c r="J1311" s="101"/>
      <c r="S1311" s="101"/>
      <c r="T1311" s="241"/>
      <c r="U1311" s="241"/>
      <c r="V1311" s="241"/>
      <c r="W1311" s="241"/>
      <c r="X1311" s="241"/>
      <c r="Y1311" s="241"/>
      <c r="Z1311" s="252"/>
    </row>
    <row r="1312" spans="3:26" ht="16.5">
      <c r="C1312" s="101"/>
      <c r="D1312" s="101"/>
      <c r="E1312" s="101"/>
      <c r="F1312" s="101"/>
      <c r="G1312" s="101"/>
      <c r="H1312" s="101"/>
      <c r="I1312" s="101"/>
      <c r="J1312" s="101"/>
      <c r="S1312" s="101"/>
      <c r="T1312" s="241"/>
      <c r="U1312" s="241"/>
      <c r="V1312" s="241"/>
      <c r="W1312" s="241"/>
      <c r="X1312" s="241"/>
      <c r="Y1312" s="241"/>
      <c r="Z1312" s="252"/>
    </row>
    <row r="1313" spans="3:26" ht="16.5">
      <c r="C1313" s="101"/>
      <c r="D1313" s="101"/>
      <c r="E1313" s="101"/>
      <c r="F1313" s="101"/>
      <c r="G1313" s="101"/>
      <c r="H1313" s="101"/>
      <c r="I1313" s="101"/>
      <c r="J1313" s="101"/>
      <c r="S1313" s="101"/>
      <c r="T1313" s="241"/>
      <c r="U1313" s="241"/>
      <c r="V1313" s="241"/>
      <c r="W1313" s="241"/>
      <c r="X1313" s="241"/>
      <c r="Y1313" s="241"/>
      <c r="Z1313" s="252"/>
    </row>
    <row r="1314" spans="3:26" ht="16.5">
      <c r="C1314" s="101"/>
      <c r="D1314" s="101"/>
      <c r="E1314" s="101"/>
      <c r="F1314" s="101"/>
      <c r="G1314" s="101"/>
      <c r="H1314" s="101"/>
      <c r="I1314" s="101"/>
      <c r="J1314" s="101"/>
      <c r="S1314" s="101"/>
      <c r="T1314" s="241"/>
      <c r="U1314" s="241"/>
      <c r="V1314" s="241"/>
      <c r="W1314" s="241"/>
      <c r="X1314" s="241"/>
      <c r="Y1314" s="241"/>
      <c r="Z1314" s="252"/>
    </row>
    <row r="1315" spans="3:26" ht="16.5">
      <c r="C1315" s="101"/>
      <c r="D1315" s="101"/>
      <c r="E1315" s="101"/>
      <c r="F1315" s="101"/>
      <c r="G1315" s="101"/>
      <c r="H1315" s="101"/>
      <c r="I1315" s="101"/>
      <c r="J1315" s="101"/>
      <c r="S1315" s="101"/>
      <c r="T1315" s="241"/>
      <c r="U1315" s="241"/>
      <c r="V1315" s="241"/>
      <c r="W1315" s="241"/>
      <c r="X1315" s="241"/>
      <c r="Y1315" s="241"/>
      <c r="Z1315" s="252"/>
    </row>
    <row r="1316" spans="3:26" ht="16.5">
      <c r="C1316" s="101"/>
      <c r="D1316" s="101"/>
      <c r="E1316" s="101"/>
      <c r="F1316" s="101"/>
      <c r="G1316" s="101"/>
      <c r="H1316" s="101"/>
      <c r="I1316" s="101"/>
      <c r="J1316" s="101"/>
      <c r="S1316" s="101"/>
      <c r="T1316" s="241"/>
      <c r="U1316" s="241"/>
      <c r="V1316" s="241"/>
      <c r="W1316" s="241"/>
      <c r="X1316" s="241"/>
      <c r="Y1316" s="241"/>
      <c r="Z1316" s="252"/>
    </row>
    <row r="1317" spans="3:26" ht="16.5">
      <c r="C1317" s="101"/>
      <c r="D1317" s="101"/>
      <c r="E1317" s="101"/>
      <c r="F1317" s="101"/>
      <c r="G1317" s="101"/>
      <c r="H1317" s="101"/>
      <c r="I1317" s="101"/>
      <c r="J1317" s="101"/>
      <c r="S1317" s="101"/>
      <c r="T1317" s="241"/>
      <c r="U1317" s="241"/>
      <c r="V1317" s="241"/>
      <c r="W1317" s="241"/>
      <c r="X1317" s="241"/>
      <c r="Y1317" s="241"/>
      <c r="Z1317" s="252"/>
    </row>
    <row r="1318" spans="3:26" ht="16.5">
      <c r="C1318" s="101"/>
      <c r="D1318" s="101"/>
      <c r="E1318" s="101"/>
      <c r="F1318" s="101"/>
      <c r="G1318" s="101"/>
      <c r="H1318" s="101"/>
      <c r="I1318" s="101"/>
      <c r="J1318" s="101"/>
      <c r="S1318" s="101"/>
      <c r="T1318" s="241"/>
      <c r="U1318" s="241"/>
      <c r="V1318" s="241"/>
      <c r="W1318" s="241"/>
      <c r="X1318" s="241"/>
      <c r="Y1318" s="241"/>
      <c r="Z1318" s="252"/>
    </row>
    <row r="1319" spans="3:26" ht="16.5">
      <c r="C1319" s="101"/>
      <c r="D1319" s="101"/>
      <c r="E1319" s="101"/>
      <c r="F1319" s="101"/>
      <c r="G1319" s="101"/>
      <c r="H1319" s="101"/>
      <c r="I1319" s="101"/>
      <c r="J1319" s="101"/>
      <c r="S1319" s="101"/>
      <c r="T1319" s="241"/>
      <c r="U1319" s="241"/>
      <c r="V1319" s="241"/>
      <c r="W1319" s="241"/>
      <c r="X1319" s="241"/>
      <c r="Y1319" s="241"/>
      <c r="Z1319" s="252"/>
    </row>
    <row r="1320" spans="3:26" ht="16.5">
      <c r="C1320" s="101"/>
      <c r="D1320" s="101"/>
      <c r="E1320" s="101"/>
      <c r="F1320" s="101"/>
      <c r="G1320" s="101"/>
      <c r="H1320" s="101"/>
      <c r="I1320" s="101"/>
      <c r="J1320" s="101"/>
      <c r="S1320" s="101"/>
      <c r="T1320" s="241"/>
      <c r="U1320" s="241"/>
      <c r="V1320" s="241"/>
      <c r="W1320" s="241"/>
      <c r="X1320" s="241"/>
      <c r="Y1320" s="241"/>
      <c r="Z1320" s="252"/>
    </row>
    <row r="1321" spans="3:26" ht="16.5">
      <c r="C1321" s="101"/>
      <c r="D1321" s="101"/>
      <c r="E1321" s="101"/>
      <c r="F1321" s="101"/>
      <c r="G1321" s="101"/>
      <c r="H1321" s="101"/>
      <c r="I1321" s="101"/>
      <c r="J1321" s="101"/>
      <c r="S1321" s="101"/>
      <c r="T1321" s="241"/>
      <c r="U1321" s="241"/>
      <c r="V1321" s="241"/>
      <c r="W1321" s="241"/>
      <c r="X1321" s="241"/>
      <c r="Y1321" s="241"/>
      <c r="Z1321" s="252"/>
    </row>
    <row r="1322" spans="3:26" ht="16.5">
      <c r="C1322" s="101"/>
      <c r="D1322" s="101"/>
      <c r="E1322" s="101"/>
      <c r="F1322" s="101"/>
      <c r="G1322" s="101"/>
      <c r="H1322" s="101"/>
      <c r="I1322" s="101"/>
      <c r="J1322" s="101"/>
      <c r="S1322" s="101"/>
      <c r="T1322" s="241"/>
      <c r="U1322" s="241"/>
      <c r="V1322" s="241"/>
      <c r="W1322" s="241"/>
      <c r="X1322" s="241"/>
      <c r="Y1322" s="241"/>
      <c r="Z1322" s="252"/>
    </row>
    <row r="1323" spans="3:26" ht="16.5">
      <c r="C1323" s="101"/>
      <c r="D1323" s="101"/>
      <c r="E1323" s="101"/>
      <c r="F1323" s="101"/>
      <c r="G1323" s="101"/>
      <c r="H1323" s="101"/>
      <c r="I1323" s="101"/>
      <c r="J1323" s="101"/>
      <c r="S1323" s="101"/>
      <c r="T1323" s="241"/>
      <c r="U1323" s="241"/>
      <c r="V1323" s="241"/>
      <c r="W1323" s="241"/>
      <c r="X1323" s="241"/>
      <c r="Y1323" s="241"/>
      <c r="Z1323" s="252"/>
    </row>
    <row r="1324" spans="3:26" ht="16.5">
      <c r="C1324" s="101"/>
      <c r="D1324" s="101"/>
      <c r="E1324" s="101"/>
      <c r="F1324" s="101"/>
      <c r="G1324" s="101"/>
      <c r="H1324" s="101"/>
      <c r="I1324" s="101"/>
      <c r="J1324" s="101"/>
      <c r="S1324" s="101"/>
      <c r="T1324" s="241"/>
      <c r="U1324" s="241"/>
      <c r="V1324" s="241"/>
      <c r="W1324" s="241"/>
      <c r="X1324" s="241"/>
      <c r="Y1324" s="241"/>
      <c r="Z1324" s="252"/>
    </row>
    <row r="1325" spans="3:26" ht="16.5">
      <c r="C1325" s="101"/>
      <c r="D1325" s="101"/>
      <c r="E1325" s="101"/>
      <c r="F1325" s="101"/>
      <c r="G1325" s="101"/>
      <c r="H1325" s="101"/>
      <c r="I1325" s="101"/>
      <c r="J1325" s="101"/>
      <c r="S1325" s="101"/>
      <c r="T1325" s="241"/>
      <c r="U1325" s="241"/>
      <c r="V1325" s="241"/>
      <c r="W1325" s="241"/>
      <c r="X1325" s="241"/>
      <c r="Y1325" s="241"/>
      <c r="Z1325" s="252"/>
    </row>
    <row r="1326" spans="3:26" ht="16.5">
      <c r="C1326" s="101"/>
      <c r="D1326" s="101"/>
      <c r="E1326" s="101"/>
      <c r="F1326" s="101"/>
      <c r="G1326" s="101"/>
      <c r="H1326" s="101"/>
      <c r="I1326" s="101"/>
      <c r="J1326" s="101"/>
      <c r="S1326" s="101"/>
      <c r="T1326" s="241"/>
      <c r="U1326" s="241"/>
      <c r="V1326" s="241"/>
      <c r="W1326" s="241"/>
      <c r="X1326" s="241"/>
      <c r="Y1326" s="241"/>
      <c r="Z1326" s="252"/>
    </row>
    <row r="1327" spans="3:26" ht="16.5">
      <c r="C1327" s="101"/>
      <c r="D1327" s="101"/>
      <c r="E1327" s="101"/>
      <c r="F1327" s="101"/>
      <c r="G1327" s="101"/>
      <c r="H1327" s="101"/>
      <c r="I1327" s="101"/>
      <c r="J1327" s="101"/>
      <c r="S1327" s="101"/>
      <c r="T1327" s="241"/>
      <c r="U1327" s="241"/>
      <c r="V1327" s="241"/>
      <c r="W1327" s="241"/>
      <c r="X1327" s="241"/>
      <c r="Y1327" s="241"/>
      <c r="Z1327" s="252"/>
    </row>
    <row r="1328" spans="3:26" ht="16.5">
      <c r="C1328" s="101"/>
      <c r="D1328" s="101"/>
      <c r="E1328" s="101"/>
      <c r="F1328" s="101"/>
      <c r="G1328" s="101"/>
      <c r="H1328" s="101"/>
      <c r="I1328" s="101"/>
      <c r="J1328" s="101"/>
      <c r="S1328" s="101"/>
      <c r="T1328" s="241"/>
      <c r="U1328" s="241"/>
      <c r="V1328" s="241"/>
      <c r="W1328" s="241"/>
      <c r="X1328" s="241"/>
      <c r="Y1328" s="241"/>
      <c r="Z1328" s="252"/>
    </row>
    <row r="1329" spans="3:26" ht="16.5">
      <c r="C1329" s="101"/>
      <c r="D1329" s="101"/>
      <c r="E1329" s="101"/>
      <c r="F1329" s="101"/>
      <c r="G1329" s="101"/>
      <c r="H1329" s="101"/>
      <c r="I1329" s="101"/>
      <c r="J1329" s="101"/>
      <c r="S1329" s="101"/>
      <c r="T1329" s="241"/>
      <c r="U1329" s="241"/>
      <c r="V1329" s="241"/>
      <c r="W1329" s="241"/>
      <c r="X1329" s="241"/>
      <c r="Y1329" s="241"/>
      <c r="Z1329" s="252"/>
    </row>
    <row r="1330" spans="3:26" ht="16.5">
      <c r="C1330" s="101"/>
      <c r="D1330" s="101"/>
      <c r="E1330" s="101"/>
      <c r="F1330" s="101"/>
      <c r="G1330" s="101"/>
      <c r="H1330" s="101"/>
      <c r="I1330" s="101"/>
      <c r="J1330" s="101"/>
      <c r="S1330" s="101"/>
      <c r="T1330" s="241"/>
      <c r="U1330" s="241"/>
      <c r="V1330" s="241"/>
      <c r="W1330" s="241"/>
      <c r="X1330" s="241"/>
      <c r="Y1330" s="241"/>
      <c r="Z1330" s="252"/>
    </row>
    <row r="1331" spans="3:26" ht="16.5">
      <c r="C1331" s="101"/>
      <c r="D1331" s="101"/>
      <c r="E1331" s="101"/>
      <c r="F1331" s="101"/>
      <c r="G1331" s="101"/>
      <c r="H1331" s="101"/>
      <c r="I1331" s="101"/>
      <c r="J1331" s="101"/>
      <c r="S1331" s="101"/>
      <c r="T1331" s="241"/>
      <c r="U1331" s="241"/>
      <c r="V1331" s="241"/>
      <c r="W1331" s="241"/>
      <c r="X1331" s="241"/>
      <c r="Y1331" s="241"/>
      <c r="Z1331" s="252"/>
    </row>
    <row r="1332" spans="3:26" ht="16.5">
      <c r="C1332" s="101"/>
      <c r="D1332" s="101"/>
      <c r="E1332" s="101"/>
      <c r="F1332" s="101"/>
      <c r="G1332" s="101"/>
      <c r="H1332" s="101"/>
      <c r="I1332" s="101"/>
      <c r="J1332" s="101"/>
      <c r="S1332" s="101"/>
      <c r="T1332" s="241"/>
      <c r="U1332" s="241"/>
      <c r="V1332" s="241"/>
      <c r="W1332" s="241"/>
      <c r="X1332" s="241"/>
      <c r="Y1332" s="241"/>
      <c r="Z1332" s="252"/>
    </row>
    <row r="1333" spans="3:26" ht="16.5">
      <c r="C1333" s="101"/>
      <c r="D1333" s="101"/>
      <c r="E1333" s="101"/>
      <c r="F1333" s="101"/>
      <c r="G1333" s="101"/>
      <c r="H1333" s="101"/>
      <c r="I1333" s="101"/>
      <c r="J1333" s="101"/>
      <c r="S1333" s="101"/>
      <c r="T1333" s="241"/>
      <c r="U1333" s="241"/>
      <c r="V1333" s="241"/>
      <c r="W1333" s="241"/>
      <c r="X1333" s="241"/>
      <c r="Y1333" s="241"/>
      <c r="Z1333" s="252"/>
    </row>
    <row r="1334" spans="3:26" ht="16.5">
      <c r="C1334" s="101"/>
      <c r="D1334" s="101"/>
      <c r="E1334" s="101"/>
      <c r="F1334" s="101"/>
      <c r="G1334" s="101"/>
      <c r="H1334" s="101"/>
      <c r="I1334" s="101"/>
      <c r="J1334" s="101"/>
      <c r="S1334" s="101"/>
      <c r="T1334" s="241"/>
      <c r="U1334" s="241"/>
      <c r="V1334" s="241"/>
      <c r="W1334" s="241"/>
      <c r="X1334" s="241"/>
      <c r="Y1334" s="241"/>
      <c r="Z1334" s="252"/>
    </row>
    <row r="1335" spans="3:26" ht="16.5">
      <c r="C1335" s="101"/>
      <c r="D1335" s="101"/>
      <c r="E1335" s="101"/>
      <c r="F1335" s="101"/>
      <c r="G1335" s="101"/>
      <c r="H1335" s="101"/>
      <c r="I1335" s="101"/>
      <c r="J1335" s="101"/>
      <c r="S1335" s="101"/>
      <c r="T1335" s="241"/>
      <c r="U1335" s="241"/>
      <c r="V1335" s="241"/>
      <c r="W1335" s="241"/>
      <c r="X1335" s="241"/>
      <c r="Y1335" s="241"/>
      <c r="Z1335" s="252"/>
    </row>
    <row r="1336" spans="3:26" ht="16.5">
      <c r="C1336" s="101"/>
      <c r="D1336" s="101"/>
      <c r="E1336" s="101"/>
      <c r="F1336" s="101"/>
      <c r="G1336" s="101"/>
      <c r="H1336" s="101"/>
      <c r="I1336" s="101"/>
      <c r="J1336" s="101"/>
      <c r="S1336" s="101"/>
      <c r="T1336" s="241"/>
      <c r="U1336" s="241"/>
      <c r="V1336" s="241"/>
      <c r="W1336" s="241"/>
      <c r="X1336" s="241"/>
      <c r="Y1336" s="241"/>
      <c r="Z1336" s="252"/>
    </row>
    <row r="1337" spans="3:26" ht="16.5">
      <c r="C1337" s="101"/>
      <c r="D1337" s="101"/>
      <c r="E1337" s="101"/>
      <c r="F1337" s="101"/>
      <c r="G1337" s="101"/>
      <c r="H1337" s="101"/>
      <c r="I1337" s="101"/>
      <c r="J1337" s="101"/>
      <c r="S1337" s="101"/>
      <c r="T1337" s="241"/>
      <c r="U1337" s="241"/>
      <c r="V1337" s="241"/>
      <c r="W1337" s="241"/>
      <c r="X1337" s="241"/>
      <c r="Y1337" s="241"/>
      <c r="Z1337" s="252"/>
    </row>
    <row r="1338" spans="3:26" ht="16.5">
      <c r="C1338" s="101"/>
      <c r="D1338" s="101"/>
      <c r="E1338" s="101"/>
      <c r="F1338" s="101"/>
      <c r="G1338" s="101"/>
      <c r="H1338" s="101"/>
      <c r="I1338" s="101"/>
      <c r="J1338" s="101"/>
      <c r="S1338" s="101"/>
      <c r="T1338" s="241"/>
      <c r="U1338" s="241"/>
      <c r="V1338" s="241"/>
      <c r="W1338" s="241"/>
      <c r="X1338" s="241"/>
      <c r="Y1338" s="241"/>
      <c r="Z1338" s="252"/>
    </row>
    <row r="1339" spans="3:26" ht="16.5">
      <c r="C1339" s="101"/>
      <c r="D1339" s="101"/>
      <c r="E1339" s="101"/>
      <c r="F1339" s="101"/>
      <c r="G1339" s="101"/>
      <c r="H1339" s="101"/>
      <c r="I1339" s="101"/>
      <c r="J1339" s="101"/>
      <c r="S1339" s="101"/>
      <c r="T1339" s="241"/>
      <c r="U1339" s="241"/>
      <c r="V1339" s="241"/>
      <c r="W1339" s="241"/>
      <c r="X1339" s="241"/>
      <c r="Y1339" s="241"/>
      <c r="Z1339" s="252"/>
    </row>
    <row r="1340" spans="3:26" ht="16.5">
      <c r="C1340" s="101"/>
      <c r="D1340" s="101"/>
      <c r="E1340" s="101"/>
      <c r="F1340" s="101"/>
      <c r="G1340" s="101"/>
      <c r="H1340" s="101"/>
      <c r="I1340" s="101"/>
      <c r="J1340" s="101"/>
      <c r="S1340" s="101"/>
      <c r="T1340" s="241"/>
      <c r="U1340" s="241"/>
      <c r="V1340" s="241"/>
      <c r="W1340" s="241"/>
      <c r="X1340" s="241"/>
      <c r="Y1340" s="241"/>
      <c r="Z1340" s="252"/>
    </row>
    <row r="1341" spans="3:26" ht="16.5">
      <c r="C1341" s="101"/>
      <c r="D1341" s="101"/>
      <c r="E1341" s="101"/>
      <c r="F1341" s="101"/>
      <c r="G1341" s="101"/>
      <c r="H1341" s="101"/>
      <c r="I1341" s="101"/>
      <c r="J1341" s="101"/>
      <c r="S1341" s="101"/>
      <c r="T1341" s="241"/>
      <c r="U1341" s="241"/>
      <c r="V1341" s="241"/>
      <c r="W1341" s="241"/>
      <c r="X1341" s="241"/>
      <c r="Y1341" s="241"/>
      <c r="Z1341" s="252"/>
    </row>
    <row r="1342" spans="3:26" ht="16.5">
      <c r="C1342" s="101"/>
      <c r="D1342" s="101"/>
      <c r="E1342" s="101"/>
      <c r="F1342" s="101"/>
      <c r="G1342" s="101"/>
      <c r="H1342" s="101"/>
      <c r="I1342" s="101"/>
      <c r="J1342" s="101"/>
      <c r="S1342" s="101"/>
      <c r="T1342" s="241"/>
      <c r="U1342" s="241"/>
      <c r="V1342" s="241"/>
      <c r="W1342" s="241"/>
      <c r="X1342" s="241"/>
      <c r="Y1342" s="241"/>
      <c r="Z1342" s="252"/>
    </row>
    <row r="1343" spans="3:26" ht="16.5">
      <c r="C1343" s="101"/>
      <c r="D1343" s="101"/>
      <c r="E1343" s="101"/>
      <c r="F1343" s="101"/>
      <c r="G1343" s="101"/>
      <c r="H1343" s="101"/>
      <c r="I1343" s="101"/>
      <c r="J1343" s="101"/>
      <c r="S1343" s="101"/>
      <c r="T1343" s="241"/>
      <c r="U1343" s="241"/>
      <c r="V1343" s="241"/>
      <c r="W1343" s="241"/>
      <c r="X1343" s="241"/>
      <c r="Y1343" s="241"/>
      <c r="Z1343" s="252"/>
    </row>
    <row r="1344" spans="3:26" ht="16.5">
      <c r="C1344" s="101"/>
      <c r="D1344" s="101"/>
      <c r="E1344" s="101"/>
      <c r="F1344" s="101"/>
      <c r="G1344" s="101"/>
      <c r="H1344" s="101"/>
      <c r="I1344" s="101"/>
      <c r="J1344" s="101"/>
      <c r="S1344" s="101"/>
      <c r="T1344" s="241"/>
      <c r="U1344" s="241"/>
      <c r="V1344" s="241"/>
      <c r="W1344" s="241"/>
      <c r="X1344" s="241"/>
      <c r="Y1344" s="241"/>
      <c r="Z1344" s="252"/>
    </row>
    <row r="1345" spans="3:26" ht="16.5">
      <c r="C1345" s="101"/>
      <c r="D1345" s="101"/>
      <c r="E1345" s="101"/>
      <c r="F1345" s="101"/>
      <c r="G1345" s="101"/>
      <c r="H1345" s="101"/>
      <c r="I1345" s="101"/>
      <c r="J1345" s="101"/>
      <c r="S1345" s="101"/>
      <c r="T1345" s="241"/>
      <c r="U1345" s="241"/>
      <c r="V1345" s="241"/>
      <c r="W1345" s="241"/>
      <c r="X1345" s="241"/>
      <c r="Y1345" s="241"/>
      <c r="Z1345" s="252"/>
    </row>
    <row r="1346" spans="3:26" ht="16.5">
      <c r="C1346" s="101"/>
      <c r="D1346" s="101"/>
      <c r="E1346" s="101"/>
      <c r="F1346" s="101"/>
      <c r="G1346" s="101"/>
      <c r="H1346" s="101"/>
      <c r="I1346" s="101"/>
      <c r="J1346" s="101"/>
      <c r="S1346" s="101"/>
      <c r="T1346" s="241"/>
      <c r="U1346" s="241"/>
      <c r="V1346" s="241"/>
      <c r="W1346" s="241"/>
      <c r="X1346" s="241"/>
      <c r="Y1346" s="241"/>
      <c r="Z1346" s="252"/>
    </row>
    <row r="1347" spans="3:26" ht="16.5">
      <c r="C1347" s="101"/>
      <c r="D1347" s="101"/>
      <c r="E1347" s="101"/>
      <c r="F1347" s="101"/>
      <c r="G1347" s="101"/>
      <c r="H1347" s="101"/>
      <c r="I1347" s="101"/>
      <c r="J1347" s="101"/>
      <c r="S1347" s="101"/>
      <c r="T1347" s="241"/>
      <c r="U1347" s="241"/>
      <c r="V1347" s="241"/>
      <c r="W1347" s="241"/>
      <c r="X1347" s="241"/>
      <c r="Y1347" s="241"/>
      <c r="Z1347" s="252"/>
    </row>
    <row r="1348" spans="3:26" ht="16.5">
      <c r="C1348" s="101"/>
      <c r="D1348" s="101"/>
      <c r="E1348" s="101"/>
      <c r="F1348" s="101"/>
      <c r="G1348" s="101"/>
      <c r="H1348" s="101"/>
      <c r="I1348" s="101"/>
      <c r="J1348" s="101"/>
      <c r="S1348" s="101"/>
      <c r="T1348" s="241"/>
      <c r="U1348" s="241"/>
      <c r="V1348" s="241"/>
      <c r="W1348" s="241"/>
      <c r="X1348" s="241"/>
      <c r="Y1348" s="241"/>
      <c r="Z1348" s="252"/>
    </row>
    <row r="1349" spans="3:26" ht="16.5">
      <c r="C1349" s="101"/>
      <c r="D1349" s="101"/>
      <c r="E1349" s="101"/>
      <c r="F1349" s="101"/>
      <c r="G1349" s="101"/>
      <c r="H1349" s="101"/>
      <c r="I1349" s="101"/>
      <c r="J1349" s="101"/>
      <c r="S1349" s="101"/>
      <c r="T1349" s="241"/>
      <c r="U1349" s="241"/>
      <c r="V1349" s="241"/>
      <c r="W1349" s="241"/>
      <c r="X1349" s="241"/>
      <c r="Y1349" s="241"/>
      <c r="Z1349" s="252"/>
    </row>
    <row r="1350" spans="3:26" ht="16.5">
      <c r="C1350" s="101"/>
      <c r="D1350" s="101"/>
      <c r="E1350" s="101"/>
      <c r="F1350" s="101"/>
      <c r="G1350" s="101"/>
      <c r="H1350" s="101"/>
      <c r="I1350" s="101"/>
      <c r="J1350" s="101"/>
      <c r="S1350" s="101"/>
      <c r="T1350" s="241"/>
      <c r="U1350" s="241"/>
      <c r="V1350" s="241"/>
      <c r="W1350" s="241"/>
      <c r="X1350" s="241"/>
      <c r="Y1350" s="241"/>
      <c r="Z1350" s="252"/>
    </row>
    <row r="1351" spans="3:26" ht="16.5">
      <c r="C1351" s="101"/>
      <c r="D1351" s="101"/>
      <c r="E1351" s="101"/>
      <c r="F1351" s="101"/>
      <c r="G1351" s="101"/>
      <c r="H1351" s="101"/>
      <c r="I1351" s="101"/>
      <c r="J1351" s="101"/>
      <c r="S1351" s="101"/>
      <c r="T1351" s="241"/>
      <c r="U1351" s="241"/>
      <c r="V1351" s="241"/>
      <c r="W1351" s="241"/>
      <c r="X1351" s="241"/>
      <c r="Y1351" s="241"/>
      <c r="Z1351" s="252"/>
    </row>
    <row r="1352" spans="3:26" ht="16.5">
      <c r="C1352" s="101"/>
      <c r="D1352" s="101"/>
      <c r="E1352" s="101"/>
      <c r="F1352" s="101"/>
      <c r="G1352" s="101"/>
      <c r="H1352" s="101"/>
      <c r="I1352" s="101"/>
      <c r="J1352" s="101"/>
      <c r="S1352" s="101"/>
      <c r="T1352" s="241"/>
      <c r="U1352" s="241"/>
      <c r="V1352" s="241"/>
      <c r="W1352" s="241"/>
      <c r="X1352" s="241"/>
      <c r="Y1352" s="241"/>
      <c r="Z1352" s="252"/>
    </row>
    <row r="1353" spans="3:26" ht="16.5">
      <c r="C1353" s="101"/>
      <c r="D1353" s="101"/>
      <c r="E1353" s="101"/>
      <c r="F1353" s="101"/>
      <c r="G1353" s="101"/>
      <c r="H1353" s="101"/>
      <c r="I1353" s="101"/>
      <c r="J1353" s="101"/>
      <c r="S1353" s="101"/>
      <c r="T1353" s="241"/>
      <c r="U1353" s="241"/>
      <c r="V1353" s="241"/>
      <c r="W1353" s="241"/>
      <c r="X1353" s="241"/>
      <c r="Y1353" s="241"/>
      <c r="Z1353" s="252"/>
    </row>
    <row r="1354" spans="3:26" ht="16.5">
      <c r="C1354" s="101"/>
      <c r="D1354" s="101"/>
      <c r="E1354" s="101"/>
      <c r="F1354" s="101"/>
      <c r="G1354" s="101"/>
      <c r="H1354" s="101"/>
      <c r="I1354" s="101"/>
      <c r="J1354" s="101"/>
      <c r="S1354" s="101"/>
      <c r="T1354" s="241"/>
      <c r="U1354" s="241"/>
      <c r="V1354" s="241"/>
      <c r="W1354" s="241"/>
      <c r="X1354" s="241"/>
      <c r="Y1354" s="241"/>
      <c r="Z1354" s="252"/>
    </row>
    <row r="1355" spans="3:26" ht="16.5">
      <c r="C1355" s="101"/>
      <c r="D1355" s="101"/>
      <c r="E1355" s="101"/>
      <c r="F1355" s="101"/>
      <c r="G1355" s="101"/>
      <c r="H1355" s="101"/>
      <c r="I1355" s="101"/>
      <c r="J1355" s="101"/>
      <c r="S1355" s="101"/>
      <c r="T1355" s="241"/>
      <c r="U1355" s="241"/>
      <c r="V1355" s="241"/>
      <c r="W1355" s="241"/>
      <c r="X1355" s="241"/>
      <c r="Y1355" s="241"/>
      <c r="Z1355" s="252"/>
    </row>
    <row r="1356" spans="3:26" ht="16.5">
      <c r="C1356" s="101"/>
      <c r="D1356" s="101"/>
      <c r="E1356" s="101"/>
      <c r="F1356" s="101"/>
      <c r="G1356" s="101"/>
      <c r="H1356" s="101"/>
      <c r="I1356" s="101"/>
      <c r="J1356" s="101"/>
      <c r="S1356" s="101"/>
      <c r="T1356" s="241"/>
      <c r="U1356" s="241"/>
      <c r="V1356" s="241"/>
      <c r="W1356" s="241"/>
      <c r="X1356" s="241"/>
      <c r="Y1356" s="241"/>
      <c r="Z1356" s="252"/>
    </row>
    <row r="1357" spans="3:26" ht="16.5">
      <c r="C1357" s="101"/>
      <c r="D1357" s="101"/>
      <c r="E1357" s="101"/>
      <c r="F1357" s="101"/>
      <c r="G1357" s="101"/>
      <c r="H1357" s="101"/>
      <c r="I1357" s="101"/>
      <c r="J1357" s="101"/>
      <c r="S1357" s="101"/>
      <c r="T1357" s="241"/>
      <c r="U1357" s="241"/>
      <c r="V1357" s="241"/>
      <c r="W1357" s="241"/>
      <c r="X1357" s="241"/>
      <c r="Y1357" s="241"/>
      <c r="Z1357" s="252"/>
    </row>
    <row r="1358" spans="3:26" ht="16.5">
      <c r="C1358" s="101"/>
      <c r="D1358" s="101"/>
      <c r="E1358" s="101"/>
      <c r="F1358" s="101"/>
      <c r="G1358" s="101"/>
      <c r="H1358" s="101"/>
      <c r="I1358" s="101"/>
      <c r="J1358" s="101"/>
      <c r="S1358" s="101"/>
      <c r="T1358" s="241"/>
      <c r="U1358" s="241"/>
      <c r="V1358" s="241"/>
      <c r="W1358" s="241"/>
      <c r="X1358" s="241"/>
      <c r="Y1358" s="241"/>
      <c r="Z1358" s="252"/>
    </row>
    <row r="1359" spans="3:26" ht="16.5">
      <c r="C1359" s="101"/>
      <c r="D1359" s="101"/>
      <c r="E1359" s="101"/>
      <c r="F1359" s="101"/>
      <c r="G1359" s="101"/>
      <c r="H1359" s="101"/>
      <c r="I1359" s="101"/>
      <c r="J1359" s="101"/>
      <c r="S1359" s="101"/>
      <c r="T1359" s="241"/>
      <c r="U1359" s="241"/>
      <c r="V1359" s="241"/>
      <c r="W1359" s="241"/>
      <c r="X1359" s="241"/>
      <c r="Y1359" s="241"/>
      <c r="Z1359" s="252"/>
    </row>
    <row r="1360" spans="3:26" ht="16.5">
      <c r="C1360" s="101"/>
      <c r="D1360" s="101"/>
      <c r="E1360" s="101"/>
      <c r="F1360" s="101"/>
      <c r="G1360" s="101"/>
      <c r="H1360" s="101"/>
      <c r="I1360" s="101"/>
      <c r="J1360" s="101"/>
      <c r="S1360" s="101"/>
      <c r="T1360" s="241"/>
      <c r="U1360" s="241"/>
      <c r="V1360" s="241"/>
      <c r="W1360" s="241"/>
      <c r="X1360" s="241"/>
      <c r="Y1360" s="241"/>
      <c r="Z1360" s="252"/>
    </row>
    <row r="1361" spans="3:26" ht="16.5">
      <c r="C1361" s="101"/>
      <c r="D1361" s="101"/>
      <c r="E1361" s="101"/>
      <c r="F1361" s="101"/>
      <c r="G1361" s="101"/>
      <c r="H1361" s="101"/>
      <c r="I1361" s="101"/>
      <c r="J1361" s="101"/>
      <c r="S1361" s="101"/>
      <c r="T1361" s="241"/>
      <c r="U1361" s="241"/>
      <c r="V1361" s="241"/>
      <c r="W1361" s="241"/>
      <c r="X1361" s="241"/>
      <c r="Y1361" s="241"/>
      <c r="Z1361" s="252"/>
    </row>
    <row r="1362" spans="3:26" ht="16.5">
      <c r="C1362" s="101"/>
      <c r="D1362" s="101"/>
      <c r="E1362" s="101"/>
      <c r="F1362" s="101"/>
      <c r="G1362" s="101"/>
      <c r="H1362" s="101"/>
      <c r="I1362" s="101"/>
      <c r="J1362" s="101"/>
      <c r="S1362" s="101"/>
      <c r="T1362" s="241"/>
      <c r="U1362" s="241"/>
      <c r="V1362" s="241"/>
      <c r="W1362" s="241"/>
      <c r="X1362" s="241"/>
      <c r="Y1362" s="241"/>
      <c r="Z1362" s="252"/>
    </row>
    <row r="1363" spans="3:26" ht="16.5">
      <c r="C1363" s="101"/>
      <c r="D1363" s="101"/>
      <c r="E1363" s="101"/>
      <c r="F1363" s="101"/>
      <c r="G1363" s="101"/>
      <c r="H1363" s="101"/>
      <c r="I1363" s="101"/>
      <c r="J1363" s="101"/>
      <c r="S1363" s="101"/>
      <c r="T1363" s="241"/>
      <c r="U1363" s="241"/>
      <c r="V1363" s="241"/>
      <c r="W1363" s="241"/>
      <c r="X1363" s="241"/>
      <c r="Y1363" s="241"/>
      <c r="Z1363" s="252"/>
    </row>
    <row r="1364" spans="3:26" ht="16.5">
      <c r="C1364" s="101"/>
      <c r="D1364" s="101"/>
      <c r="E1364" s="101"/>
      <c r="F1364" s="101"/>
      <c r="G1364" s="101"/>
      <c r="H1364" s="101"/>
      <c r="I1364" s="101"/>
      <c r="J1364" s="101"/>
      <c r="S1364" s="101"/>
      <c r="T1364" s="241"/>
      <c r="U1364" s="241"/>
      <c r="V1364" s="241"/>
      <c r="W1364" s="241"/>
      <c r="X1364" s="241"/>
      <c r="Y1364" s="241"/>
      <c r="Z1364" s="252"/>
    </row>
    <row r="1365" spans="3:26" ht="16.5">
      <c r="C1365" s="101"/>
      <c r="D1365" s="101"/>
      <c r="E1365" s="101"/>
      <c r="F1365" s="101"/>
      <c r="G1365" s="101"/>
      <c r="H1365" s="101"/>
      <c r="I1365" s="101"/>
      <c r="J1365" s="101"/>
      <c r="S1365" s="101"/>
      <c r="T1365" s="241"/>
      <c r="U1365" s="241"/>
      <c r="V1365" s="241"/>
      <c r="W1365" s="241"/>
      <c r="X1365" s="241"/>
      <c r="Y1365" s="241"/>
      <c r="Z1365" s="252"/>
    </row>
    <row r="1366" spans="3:26" ht="16.5">
      <c r="C1366" s="101"/>
      <c r="D1366" s="101"/>
      <c r="E1366" s="101"/>
      <c r="F1366" s="101"/>
      <c r="G1366" s="101"/>
      <c r="H1366" s="101"/>
      <c r="I1366" s="101"/>
      <c r="J1366" s="101"/>
      <c r="S1366" s="101"/>
      <c r="T1366" s="241"/>
      <c r="U1366" s="241"/>
      <c r="V1366" s="241"/>
      <c r="W1366" s="241"/>
      <c r="X1366" s="241"/>
      <c r="Y1366" s="241"/>
      <c r="Z1366" s="252"/>
    </row>
    <row r="1367" spans="3:26" ht="16.5">
      <c r="C1367" s="101"/>
      <c r="D1367" s="101"/>
      <c r="E1367" s="101"/>
      <c r="F1367" s="101"/>
      <c r="G1367" s="101"/>
      <c r="H1367" s="101"/>
      <c r="I1367" s="101"/>
      <c r="J1367" s="101"/>
      <c r="S1367" s="101"/>
      <c r="T1367" s="241"/>
      <c r="U1367" s="241"/>
      <c r="V1367" s="241"/>
      <c r="W1367" s="241"/>
      <c r="X1367" s="241"/>
      <c r="Y1367" s="241"/>
      <c r="Z1367" s="252"/>
    </row>
    <row r="1368" spans="3:26" ht="16.5">
      <c r="C1368" s="101"/>
      <c r="D1368" s="101"/>
      <c r="E1368" s="101"/>
      <c r="F1368" s="101"/>
      <c r="G1368" s="101"/>
      <c r="H1368" s="101"/>
      <c r="I1368" s="101"/>
      <c r="J1368" s="101"/>
      <c r="S1368" s="101"/>
      <c r="T1368" s="241"/>
      <c r="U1368" s="241"/>
      <c r="V1368" s="241"/>
      <c r="W1368" s="241"/>
      <c r="X1368" s="241"/>
      <c r="Y1368" s="241"/>
      <c r="Z1368" s="252"/>
    </row>
    <row r="1369" spans="3:26" ht="16.5">
      <c r="C1369" s="101"/>
      <c r="D1369" s="101"/>
      <c r="E1369" s="101"/>
      <c r="F1369" s="101"/>
      <c r="G1369" s="101"/>
      <c r="H1369" s="101"/>
      <c r="I1369" s="101"/>
      <c r="J1369" s="101"/>
      <c r="S1369" s="101"/>
      <c r="T1369" s="241"/>
      <c r="U1369" s="241"/>
      <c r="V1369" s="241"/>
      <c r="W1369" s="241"/>
      <c r="X1369" s="241"/>
      <c r="Y1369" s="241"/>
      <c r="Z1369" s="252"/>
    </row>
    <row r="1370" spans="3:26" ht="16.5">
      <c r="C1370" s="101"/>
      <c r="D1370" s="101"/>
      <c r="E1370" s="101"/>
      <c r="F1370" s="101"/>
      <c r="G1370" s="101"/>
      <c r="H1370" s="101"/>
      <c r="I1370" s="101"/>
      <c r="J1370" s="101"/>
      <c r="S1370" s="101"/>
      <c r="T1370" s="241"/>
      <c r="U1370" s="241"/>
      <c r="V1370" s="241"/>
      <c r="W1370" s="241"/>
      <c r="X1370" s="241"/>
      <c r="Y1370" s="241"/>
      <c r="Z1370" s="252"/>
    </row>
    <row r="1371" spans="3:26" ht="16.5">
      <c r="C1371" s="101"/>
      <c r="D1371" s="101"/>
      <c r="E1371" s="101"/>
      <c r="F1371" s="101"/>
      <c r="G1371" s="101"/>
      <c r="H1371" s="101"/>
      <c r="I1371" s="101"/>
      <c r="J1371" s="101"/>
      <c r="S1371" s="101"/>
      <c r="T1371" s="241"/>
      <c r="U1371" s="241"/>
      <c r="V1371" s="241"/>
      <c r="W1371" s="241"/>
      <c r="X1371" s="241"/>
      <c r="Y1371" s="241"/>
      <c r="Z1371" s="252"/>
    </row>
    <row r="1372" spans="3:26" ht="16.5">
      <c r="C1372" s="101"/>
      <c r="D1372" s="101"/>
      <c r="E1372" s="101"/>
      <c r="F1372" s="101"/>
      <c r="G1372" s="101"/>
      <c r="H1372" s="101"/>
      <c r="I1372" s="101"/>
      <c r="J1372" s="101"/>
      <c r="S1372" s="101"/>
      <c r="T1372" s="241"/>
      <c r="U1372" s="241"/>
      <c r="V1372" s="241"/>
      <c r="W1372" s="241"/>
      <c r="X1372" s="241"/>
      <c r="Y1372" s="241"/>
      <c r="Z1372" s="252"/>
    </row>
    <row r="1373" spans="3:26" ht="16.5">
      <c r="C1373" s="101"/>
      <c r="D1373" s="101"/>
      <c r="E1373" s="101"/>
      <c r="F1373" s="101"/>
      <c r="G1373" s="101"/>
      <c r="H1373" s="101"/>
      <c r="I1373" s="101"/>
      <c r="J1373" s="101"/>
      <c r="S1373" s="101"/>
      <c r="T1373" s="241"/>
      <c r="U1373" s="241"/>
      <c r="V1373" s="241"/>
      <c r="W1373" s="241"/>
      <c r="X1373" s="241"/>
      <c r="Y1373" s="241"/>
      <c r="Z1373" s="252"/>
    </row>
    <row r="1374" spans="3:26" ht="16.5">
      <c r="C1374" s="101"/>
      <c r="D1374" s="101"/>
      <c r="E1374" s="101"/>
      <c r="F1374" s="101"/>
      <c r="G1374" s="101"/>
      <c r="H1374" s="101"/>
      <c r="I1374" s="101"/>
      <c r="J1374" s="101"/>
      <c r="S1374" s="101"/>
      <c r="T1374" s="241"/>
      <c r="U1374" s="241"/>
      <c r="V1374" s="241"/>
      <c r="W1374" s="241"/>
      <c r="X1374" s="241"/>
      <c r="Y1374" s="241"/>
      <c r="Z1374" s="252"/>
    </row>
    <row r="1375" spans="3:26" ht="16.5">
      <c r="C1375" s="101"/>
      <c r="D1375" s="101"/>
      <c r="E1375" s="101"/>
      <c r="F1375" s="101"/>
      <c r="G1375" s="101"/>
      <c r="H1375" s="101"/>
      <c r="I1375" s="101"/>
      <c r="J1375" s="101"/>
      <c r="S1375" s="101"/>
      <c r="T1375" s="241"/>
      <c r="U1375" s="241"/>
      <c r="V1375" s="241"/>
      <c r="W1375" s="241"/>
      <c r="X1375" s="241"/>
      <c r="Y1375" s="241"/>
      <c r="Z1375" s="252"/>
    </row>
    <row r="1376" spans="3:26" ht="16.5">
      <c r="C1376" s="101"/>
      <c r="D1376" s="101"/>
      <c r="E1376" s="101"/>
      <c r="F1376" s="101"/>
      <c r="G1376" s="101"/>
      <c r="H1376" s="101"/>
      <c r="I1376" s="101"/>
      <c r="J1376" s="101"/>
      <c r="S1376" s="101"/>
      <c r="T1376" s="241"/>
      <c r="U1376" s="241"/>
      <c r="V1376" s="241"/>
      <c r="W1376" s="241"/>
      <c r="X1376" s="241"/>
      <c r="Y1376" s="241"/>
      <c r="Z1376" s="252"/>
    </row>
    <row r="1377" spans="3:26" ht="16.5">
      <c r="C1377" s="101"/>
      <c r="D1377" s="101"/>
      <c r="E1377" s="101"/>
      <c r="F1377" s="101"/>
      <c r="G1377" s="101"/>
      <c r="H1377" s="101"/>
      <c r="I1377" s="101"/>
      <c r="J1377" s="101"/>
      <c r="S1377" s="101"/>
      <c r="T1377" s="241"/>
      <c r="U1377" s="241"/>
      <c r="V1377" s="241"/>
      <c r="W1377" s="241"/>
      <c r="X1377" s="241"/>
      <c r="Y1377" s="241"/>
      <c r="Z1377" s="252"/>
    </row>
    <row r="1378" spans="3:26" ht="16.5">
      <c r="C1378" s="101"/>
      <c r="D1378" s="101"/>
      <c r="E1378" s="101"/>
      <c r="F1378" s="101"/>
      <c r="G1378" s="101"/>
      <c r="H1378" s="101"/>
      <c r="I1378" s="101"/>
      <c r="J1378" s="101"/>
      <c r="S1378" s="101"/>
      <c r="T1378" s="241"/>
      <c r="U1378" s="241"/>
      <c r="V1378" s="241"/>
      <c r="W1378" s="241"/>
      <c r="X1378" s="241"/>
      <c r="Y1378" s="241"/>
      <c r="Z1378" s="252"/>
    </row>
    <row r="1379" spans="3:26" ht="16.5">
      <c r="C1379" s="101"/>
      <c r="D1379" s="101"/>
      <c r="E1379" s="101"/>
      <c r="F1379" s="101"/>
      <c r="G1379" s="101"/>
      <c r="H1379" s="101"/>
      <c r="I1379" s="101"/>
      <c r="J1379" s="101"/>
      <c r="S1379" s="101"/>
      <c r="T1379" s="241"/>
      <c r="U1379" s="241"/>
      <c r="V1379" s="241"/>
      <c r="W1379" s="241"/>
      <c r="X1379" s="241"/>
      <c r="Y1379" s="241"/>
      <c r="Z1379" s="252"/>
    </row>
    <row r="1380" spans="3:26" ht="16.5">
      <c r="C1380" s="101"/>
      <c r="D1380" s="101"/>
      <c r="E1380" s="101"/>
      <c r="F1380" s="101"/>
      <c r="G1380" s="101"/>
      <c r="H1380" s="101"/>
      <c r="I1380" s="101"/>
      <c r="J1380" s="101"/>
      <c r="S1380" s="101"/>
      <c r="T1380" s="241"/>
      <c r="U1380" s="241"/>
      <c r="V1380" s="241"/>
      <c r="W1380" s="241"/>
      <c r="X1380" s="241"/>
      <c r="Y1380" s="241"/>
      <c r="Z1380" s="252"/>
    </row>
    <row r="1381" spans="3:26" ht="16.5">
      <c r="C1381" s="101"/>
      <c r="D1381" s="101"/>
      <c r="E1381" s="101"/>
      <c r="F1381" s="101"/>
      <c r="G1381" s="101"/>
      <c r="H1381" s="101"/>
      <c r="I1381" s="101"/>
      <c r="J1381" s="101"/>
      <c r="S1381" s="101"/>
      <c r="T1381" s="241"/>
      <c r="U1381" s="241"/>
      <c r="V1381" s="241"/>
      <c r="W1381" s="241"/>
      <c r="X1381" s="241"/>
      <c r="Y1381" s="241"/>
      <c r="Z1381" s="252"/>
    </row>
    <row r="1382" spans="3:26" ht="16.5">
      <c r="C1382" s="101"/>
      <c r="D1382" s="101"/>
      <c r="E1382" s="101"/>
      <c r="F1382" s="101"/>
      <c r="G1382" s="101"/>
      <c r="H1382" s="101"/>
      <c r="I1382" s="101"/>
      <c r="J1382" s="101"/>
      <c r="S1382" s="101"/>
      <c r="T1382" s="241"/>
      <c r="U1382" s="241"/>
      <c r="V1382" s="241"/>
      <c r="W1382" s="241"/>
      <c r="X1382" s="241"/>
      <c r="Y1382" s="241"/>
      <c r="Z1382" s="252"/>
    </row>
    <row r="1383" spans="3:26" ht="16.5">
      <c r="C1383" s="101"/>
      <c r="D1383" s="101"/>
      <c r="E1383" s="101"/>
      <c r="F1383" s="101"/>
      <c r="G1383" s="101"/>
      <c r="H1383" s="101"/>
      <c r="I1383" s="101"/>
      <c r="J1383" s="101"/>
      <c r="S1383" s="101"/>
      <c r="T1383" s="241"/>
      <c r="U1383" s="241"/>
      <c r="V1383" s="241"/>
      <c r="W1383" s="241"/>
      <c r="X1383" s="241"/>
      <c r="Y1383" s="241"/>
      <c r="Z1383" s="252"/>
    </row>
    <row r="1384" spans="3:26" ht="16.5">
      <c r="C1384" s="101"/>
      <c r="D1384" s="101"/>
      <c r="E1384" s="101"/>
      <c r="F1384" s="101"/>
      <c r="G1384" s="101"/>
      <c r="H1384" s="101"/>
      <c r="I1384" s="101"/>
      <c r="J1384" s="101"/>
      <c r="S1384" s="101"/>
      <c r="T1384" s="241"/>
      <c r="U1384" s="241"/>
      <c r="V1384" s="241"/>
      <c r="W1384" s="241"/>
      <c r="X1384" s="241"/>
      <c r="Y1384" s="241"/>
      <c r="Z1384" s="252"/>
    </row>
    <row r="1385" spans="3:26" ht="16.5">
      <c r="C1385" s="101"/>
      <c r="D1385" s="101"/>
      <c r="E1385" s="101"/>
      <c r="F1385" s="101"/>
      <c r="G1385" s="101"/>
      <c r="H1385" s="101"/>
      <c r="I1385" s="101"/>
      <c r="J1385" s="101"/>
      <c r="S1385" s="101"/>
      <c r="T1385" s="241"/>
      <c r="U1385" s="241"/>
      <c r="V1385" s="241"/>
      <c r="W1385" s="241"/>
      <c r="X1385" s="241"/>
      <c r="Y1385" s="241"/>
      <c r="Z1385" s="252"/>
    </row>
    <row r="1386" spans="3:26" ht="16.5">
      <c r="C1386" s="101"/>
      <c r="D1386" s="101"/>
      <c r="E1386" s="101"/>
      <c r="F1386" s="101"/>
      <c r="G1386" s="101"/>
      <c r="H1386" s="101"/>
      <c r="I1386" s="101"/>
      <c r="J1386" s="101"/>
      <c r="S1386" s="101"/>
      <c r="T1386" s="241"/>
      <c r="U1386" s="241"/>
      <c r="V1386" s="241"/>
      <c r="W1386" s="241"/>
      <c r="X1386" s="241"/>
      <c r="Y1386" s="241"/>
      <c r="Z1386" s="252"/>
    </row>
    <row r="1387" spans="3:26" ht="16.5">
      <c r="C1387" s="101"/>
      <c r="D1387" s="101"/>
      <c r="E1387" s="101"/>
      <c r="F1387" s="101"/>
      <c r="G1387" s="101"/>
      <c r="H1387" s="101"/>
      <c r="I1387" s="101"/>
      <c r="J1387" s="101"/>
      <c r="S1387" s="101"/>
      <c r="T1387" s="241"/>
      <c r="U1387" s="241"/>
      <c r="V1387" s="241"/>
      <c r="W1387" s="241"/>
      <c r="X1387" s="241"/>
      <c r="Y1387" s="241"/>
      <c r="Z1387" s="252"/>
    </row>
    <row r="1388" spans="3:26" ht="16.5">
      <c r="C1388" s="101"/>
      <c r="D1388" s="101"/>
      <c r="E1388" s="101"/>
      <c r="F1388" s="101"/>
      <c r="G1388" s="101"/>
      <c r="H1388" s="101"/>
      <c r="I1388" s="101"/>
      <c r="J1388" s="101"/>
      <c r="S1388" s="101"/>
      <c r="T1388" s="241"/>
      <c r="U1388" s="241"/>
      <c r="V1388" s="241"/>
      <c r="W1388" s="241"/>
      <c r="X1388" s="241"/>
      <c r="Y1388" s="241"/>
      <c r="Z1388" s="252"/>
    </row>
    <row r="1389" spans="3:26" ht="16.5">
      <c r="C1389" s="101"/>
      <c r="D1389" s="101"/>
      <c r="E1389" s="101"/>
      <c r="F1389" s="101"/>
      <c r="G1389" s="101"/>
      <c r="H1389" s="101"/>
      <c r="I1389" s="101"/>
      <c r="J1389" s="101"/>
      <c r="S1389" s="101"/>
      <c r="T1389" s="241"/>
      <c r="U1389" s="241"/>
      <c r="V1389" s="241"/>
      <c r="W1389" s="241"/>
      <c r="X1389" s="241"/>
      <c r="Y1389" s="241"/>
      <c r="Z1389" s="252"/>
    </row>
    <row r="1390" spans="3:26" ht="16.5">
      <c r="C1390" s="101"/>
      <c r="D1390" s="101"/>
      <c r="E1390" s="101"/>
      <c r="F1390" s="101"/>
      <c r="G1390" s="101"/>
      <c r="H1390" s="101"/>
      <c r="I1390" s="101"/>
      <c r="J1390" s="101"/>
      <c r="S1390" s="101"/>
      <c r="T1390" s="241"/>
      <c r="U1390" s="241"/>
      <c r="V1390" s="241"/>
      <c r="W1390" s="241"/>
      <c r="X1390" s="241"/>
      <c r="Y1390" s="241"/>
      <c r="Z1390" s="252"/>
    </row>
    <row r="1391" spans="3:26" ht="16.5">
      <c r="C1391" s="101"/>
      <c r="D1391" s="101"/>
      <c r="E1391" s="101"/>
      <c r="F1391" s="101"/>
      <c r="G1391" s="101"/>
      <c r="H1391" s="101"/>
      <c r="I1391" s="101"/>
      <c r="J1391" s="101"/>
      <c r="S1391" s="101"/>
      <c r="T1391" s="241"/>
      <c r="U1391" s="241"/>
      <c r="V1391" s="241"/>
      <c r="W1391" s="241"/>
      <c r="X1391" s="241"/>
      <c r="Y1391" s="241"/>
      <c r="Z1391" s="252"/>
    </row>
    <row r="1392" spans="3:26" ht="16.5">
      <c r="C1392" s="101"/>
      <c r="D1392" s="101"/>
      <c r="E1392" s="101"/>
      <c r="F1392" s="101"/>
      <c r="G1392" s="101"/>
      <c r="H1392" s="101"/>
      <c r="I1392" s="101"/>
      <c r="J1392" s="101"/>
      <c r="S1392" s="101"/>
      <c r="T1392" s="241"/>
      <c r="U1392" s="241"/>
      <c r="V1392" s="241"/>
      <c r="W1392" s="241"/>
      <c r="X1392" s="241"/>
      <c r="Y1392" s="241"/>
      <c r="Z1392" s="252"/>
    </row>
    <row r="1393" spans="3:26" ht="16.5">
      <c r="C1393" s="101"/>
      <c r="D1393" s="101"/>
      <c r="E1393" s="101"/>
      <c r="F1393" s="101"/>
      <c r="G1393" s="101"/>
      <c r="H1393" s="101"/>
      <c r="I1393" s="101"/>
      <c r="J1393" s="101"/>
      <c r="S1393" s="101"/>
      <c r="T1393" s="241"/>
      <c r="U1393" s="241"/>
      <c r="V1393" s="241"/>
      <c r="W1393" s="241"/>
      <c r="X1393" s="241"/>
      <c r="Y1393" s="241"/>
      <c r="Z1393" s="252"/>
    </row>
    <row r="1394" spans="3:26" ht="16.5">
      <c r="C1394" s="101"/>
      <c r="D1394" s="101"/>
      <c r="E1394" s="101"/>
      <c r="F1394" s="101"/>
      <c r="G1394" s="101"/>
      <c r="H1394" s="101"/>
      <c r="I1394" s="101"/>
      <c r="J1394" s="101"/>
      <c r="S1394" s="101"/>
      <c r="T1394" s="241"/>
      <c r="U1394" s="241"/>
      <c r="V1394" s="241"/>
      <c r="W1394" s="241"/>
      <c r="X1394" s="241"/>
      <c r="Y1394" s="241"/>
      <c r="Z1394" s="252"/>
    </row>
    <row r="1395" spans="3:26" ht="16.5">
      <c r="C1395" s="101"/>
      <c r="D1395" s="101"/>
      <c r="E1395" s="101"/>
      <c r="F1395" s="101"/>
      <c r="G1395" s="101"/>
      <c r="H1395" s="101"/>
      <c r="I1395" s="101"/>
      <c r="J1395" s="101"/>
      <c r="S1395" s="101"/>
      <c r="T1395" s="241"/>
      <c r="U1395" s="241"/>
      <c r="V1395" s="241"/>
      <c r="W1395" s="241"/>
      <c r="X1395" s="241"/>
      <c r="Y1395" s="241"/>
      <c r="Z1395" s="252"/>
    </row>
    <row r="1396" spans="3:26" ht="16.5">
      <c r="C1396" s="101"/>
      <c r="D1396" s="101"/>
      <c r="E1396" s="101"/>
      <c r="F1396" s="101"/>
      <c r="G1396" s="101"/>
      <c r="H1396" s="101"/>
      <c r="I1396" s="101"/>
      <c r="J1396" s="101"/>
      <c r="S1396" s="101"/>
      <c r="T1396" s="241"/>
      <c r="U1396" s="241"/>
      <c r="V1396" s="241"/>
      <c r="W1396" s="241"/>
      <c r="X1396" s="241"/>
      <c r="Y1396" s="241"/>
      <c r="Z1396" s="252"/>
    </row>
    <row r="1397" spans="3:26" ht="16.5">
      <c r="C1397" s="101"/>
      <c r="D1397" s="101"/>
      <c r="E1397" s="101"/>
      <c r="F1397" s="101"/>
      <c r="G1397" s="101"/>
      <c r="H1397" s="101"/>
      <c r="I1397" s="101"/>
      <c r="J1397" s="101"/>
      <c r="S1397" s="101"/>
      <c r="T1397" s="241"/>
      <c r="U1397" s="241"/>
      <c r="V1397" s="241"/>
      <c r="W1397" s="241"/>
      <c r="X1397" s="241"/>
      <c r="Y1397" s="241"/>
      <c r="Z1397" s="252"/>
    </row>
    <row r="1398" spans="3:26" ht="16.5">
      <c r="C1398" s="101"/>
      <c r="D1398" s="101"/>
      <c r="E1398" s="101"/>
      <c r="F1398" s="101"/>
      <c r="G1398" s="101"/>
      <c r="H1398" s="101"/>
      <c r="I1398" s="101"/>
      <c r="J1398" s="101"/>
      <c r="S1398" s="101"/>
      <c r="T1398" s="241"/>
      <c r="U1398" s="241"/>
      <c r="V1398" s="241"/>
      <c r="W1398" s="241"/>
      <c r="X1398" s="241"/>
      <c r="Y1398" s="241"/>
      <c r="Z1398" s="252"/>
    </row>
    <row r="1399" spans="3:26" ht="16.5">
      <c r="C1399" s="101"/>
      <c r="D1399" s="101"/>
      <c r="E1399" s="101"/>
      <c r="F1399" s="101"/>
      <c r="G1399" s="101"/>
      <c r="H1399" s="101"/>
      <c r="I1399" s="101"/>
      <c r="J1399" s="101"/>
      <c r="S1399" s="101"/>
      <c r="T1399" s="241"/>
      <c r="U1399" s="241"/>
      <c r="V1399" s="241"/>
      <c r="W1399" s="241"/>
      <c r="X1399" s="241"/>
      <c r="Y1399" s="241"/>
      <c r="Z1399" s="252"/>
    </row>
    <row r="1400" spans="3:26" ht="16.5">
      <c r="C1400" s="101"/>
      <c r="D1400" s="101"/>
      <c r="E1400" s="101"/>
      <c r="F1400" s="101"/>
      <c r="G1400" s="101"/>
      <c r="H1400" s="101"/>
      <c r="I1400" s="101"/>
      <c r="J1400" s="101"/>
      <c r="S1400" s="101"/>
      <c r="T1400" s="241"/>
      <c r="U1400" s="241"/>
      <c r="V1400" s="241"/>
      <c r="W1400" s="241"/>
      <c r="X1400" s="241"/>
      <c r="Y1400" s="241"/>
      <c r="Z1400" s="252"/>
    </row>
    <row r="1401" spans="3:26" ht="16.5">
      <c r="C1401" s="101"/>
      <c r="D1401" s="101"/>
      <c r="E1401" s="101"/>
      <c r="F1401" s="101"/>
      <c r="G1401" s="101"/>
      <c r="H1401" s="101"/>
      <c r="I1401" s="101"/>
      <c r="J1401" s="101"/>
      <c r="S1401" s="101"/>
      <c r="T1401" s="241"/>
      <c r="U1401" s="241"/>
      <c r="V1401" s="241"/>
      <c r="W1401" s="241"/>
      <c r="X1401" s="241"/>
      <c r="Y1401" s="241"/>
      <c r="Z1401" s="252"/>
    </row>
    <row r="1402" spans="3:26" ht="16.5">
      <c r="C1402" s="101"/>
      <c r="D1402" s="101"/>
      <c r="E1402" s="101"/>
      <c r="F1402" s="101"/>
      <c r="G1402" s="101"/>
      <c r="H1402" s="101"/>
      <c r="I1402" s="101"/>
      <c r="J1402" s="101"/>
      <c r="S1402" s="101"/>
      <c r="T1402" s="241"/>
      <c r="U1402" s="241"/>
      <c r="V1402" s="241"/>
      <c r="W1402" s="241"/>
      <c r="X1402" s="241"/>
      <c r="Y1402" s="241"/>
      <c r="Z1402" s="252"/>
    </row>
    <row r="1403" spans="3:26" ht="16.5">
      <c r="C1403" s="101"/>
      <c r="D1403" s="101"/>
      <c r="E1403" s="101"/>
      <c r="F1403" s="101"/>
      <c r="G1403" s="101"/>
      <c r="H1403" s="101"/>
      <c r="I1403" s="101"/>
      <c r="J1403" s="101"/>
      <c r="S1403" s="101"/>
      <c r="T1403" s="241"/>
      <c r="U1403" s="241"/>
      <c r="V1403" s="241"/>
      <c r="W1403" s="241"/>
      <c r="X1403" s="241"/>
      <c r="Y1403" s="241"/>
      <c r="Z1403" s="252"/>
    </row>
    <row r="1404" spans="3:26" ht="16.5">
      <c r="C1404" s="101"/>
      <c r="D1404" s="101"/>
      <c r="E1404" s="101"/>
      <c r="F1404" s="101"/>
      <c r="G1404" s="101"/>
      <c r="H1404" s="101"/>
      <c r="I1404" s="101"/>
      <c r="J1404" s="101"/>
      <c r="S1404" s="101"/>
      <c r="T1404" s="241"/>
      <c r="U1404" s="241"/>
      <c r="V1404" s="241"/>
      <c r="W1404" s="241"/>
      <c r="X1404" s="241"/>
      <c r="Y1404" s="241"/>
      <c r="Z1404" s="252"/>
    </row>
    <row r="1405" spans="3:26" ht="16.5">
      <c r="C1405" s="101"/>
      <c r="D1405" s="101"/>
      <c r="E1405" s="101"/>
      <c r="F1405" s="101"/>
      <c r="G1405" s="101"/>
      <c r="H1405" s="101"/>
      <c r="I1405" s="101"/>
      <c r="J1405" s="101"/>
      <c r="S1405" s="101"/>
      <c r="T1405" s="241"/>
      <c r="U1405" s="241"/>
      <c r="V1405" s="241"/>
      <c r="W1405" s="241"/>
      <c r="X1405" s="241"/>
      <c r="Y1405" s="241"/>
      <c r="Z1405" s="252"/>
    </row>
    <row r="1406" spans="3:26" ht="16.5">
      <c r="C1406" s="101"/>
      <c r="D1406" s="101"/>
      <c r="E1406" s="101"/>
      <c r="F1406" s="101"/>
      <c r="G1406" s="101"/>
      <c r="H1406" s="101"/>
      <c r="I1406" s="101"/>
      <c r="J1406" s="101"/>
      <c r="S1406" s="101"/>
      <c r="T1406" s="241"/>
      <c r="U1406" s="241"/>
      <c r="V1406" s="241"/>
      <c r="W1406" s="241"/>
      <c r="X1406" s="241"/>
      <c r="Y1406" s="241"/>
      <c r="Z1406" s="252"/>
    </row>
    <row r="1407" spans="3:26" ht="16.5">
      <c r="C1407" s="101"/>
      <c r="D1407" s="101"/>
      <c r="E1407" s="101"/>
      <c r="F1407" s="101"/>
      <c r="G1407" s="101"/>
      <c r="H1407" s="101"/>
      <c r="I1407" s="101"/>
      <c r="J1407" s="101"/>
      <c r="S1407" s="101"/>
      <c r="T1407" s="241"/>
      <c r="U1407" s="241"/>
      <c r="V1407" s="241"/>
      <c r="W1407" s="241"/>
      <c r="X1407" s="241"/>
      <c r="Y1407" s="241"/>
      <c r="Z1407" s="252"/>
    </row>
    <row r="1408" spans="3:26" ht="16.5">
      <c r="C1408" s="101"/>
      <c r="D1408" s="101"/>
      <c r="E1408" s="101"/>
      <c r="F1408" s="101"/>
      <c r="G1408" s="101"/>
      <c r="H1408" s="101"/>
      <c r="I1408" s="101"/>
      <c r="J1408" s="101"/>
      <c r="S1408" s="101"/>
      <c r="T1408" s="241"/>
      <c r="U1408" s="241"/>
      <c r="V1408" s="241"/>
      <c r="W1408" s="241"/>
      <c r="X1408" s="241"/>
      <c r="Y1408" s="241"/>
      <c r="Z1408" s="252"/>
    </row>
    <row r="1409" spans="3:26" ht="16.5">
      <c r="C1409" s="101"/>
      <c r="D1409" s="101"/>
      <c r="E1409" s="101"/>
      <c r="F1409" s="101"/>
      <c r="G1409" s="101"/>
      <c r="H1409" s="101"/>
      <c r="I1409" s="101"/>
      <c r="J1409" s="101"/>
      <c r="S1409" s="101"/>
      <c r="T1409" s="241"/>
      <c r="U1409" s="241"/>
      <c r="V1409" s="241"/>
      <c r="W1409" s="241"/>
      <c r="X1409" s="241"/>
      <c r="Y1409" s="241"/>
      <c r="Z1409" s="252"/>
    </row>
    <row r="1410" spans="3:26" ht="16.5">
      <c r="C1410" s="101"/>
      <c r="D1410" s="101"/>
      <c r="E1410" s="101"/>
      <c r="F1410" s="101"/>
      <c r="G1410" s="101"/>
      <c r="H1410" s="101"/>
      <c r="I1410" s="101"/>
      <c r="J1410" s="101"/>
      <c r="S1410" s="101"/>
      <c r="T1410" s="241"/>
      <c r="U1410" s="241"/>
      <c r="V1410" s="241"/>
      <c r="W1410" s="241"/>
      <c r="X1410" s="241"/>
      <c r="Y1410" s="241"/>
      <c r="Z1410" s="252"/>
    </row>
    <row r="1411" spans="3:26" ht="16.5">
      <c r="C1411" s="101"/>
      <c r="D1411" s="101"/>
      <c r="E1411" s="101"/>
      <c r="F1411" s="101"/>
      <c r="G1411" s="101"/>
      <c r="H1411" s="101"/>
      <c r="I1411" s="101"/>
      <c r="J1411" s="101"/>
      <c r="S1411" s="101"/>
      <c r="T1411" s="241"/>
      <c r="U1411" s="241"/>
      <c r="V1411" s="241"/>
      <c r="W1411" s="241"/>
      <c r="X1411" s="241"/>
      <c r="Y1411" s="241"/>
      <c r="Z1411" s="252"/>
    </row>
    <row r="1412" spans="3:26" ht="16.5">
      <c r="C1412" s="101"/>
      <c r="D1412" s="101"/>
      <c r="E1412" s="101"/>
      <c r="F1412" s="101"/>
      <c r="G1412" s="101"/>
      <c r="H1412" s="101"/>
      <c r="I1412" s="101"/>
      <c r="J1412" s="101"/>
      <c r="S1412" s="101"/>
      <c r="T1412" s="241"/>
      <c r="U1412" s="241"/>
      <c r="V1412" s="241"/>
      <c r="W1412" s="241"/>
      <c r="X1412" s="241"/>
      <c r="Y1412" s="241"/>
      <c r="Z1412" s="252"/>
    </row>
    <row r="1413" spans="3:26" ht="16.5">
      <c r="C1413" s="101"/>
      <c r="D1413" s="101"/>
      <c r="E1413" s="101"/>
      <c r="F1413" s="101"/>
      <c r="G1413" s="101"/>
      <c r="H1413" s="101"/>
      <c r="I1413" s="101"/>
      <c r="J1413" s="101"/>
      <c r="S1413" s="101"/>
      <c r="T1413" s="241"/>
      <c r="U1413" s="241"/>
      <c r="V1413" s="241"/>
      <c r="W1413" s="241"/>
      <c r="X1413" s="241"/>
      <c r="Y1413" s="241"/>
      <c r="Z1413" s="252"/>
    </row>
    <row r="1414" spans="3:26" ht="16.5">
      <c r="C1414" s="101"/>
      <c r="D1414" s="101"/>
      <c r="E1414" s="101"/>
      <c r="F1414" s="101"/>
      <c r="G1414" s="101"/>
      <c r="H1414" s="101"/>
      <c r="I1414" s="101"/>
      <c r="J1414" s="101"/>
      <c r="S1414" s="101"/>
      <c r="T1414" s="241"/>
      <c r="U1414" s="241"/>
      <c r="V1414" s="241"/>
      <c r="W1414" s="241"/>
      <c r="X1414" s="241"/>
      <c r="Y1414" s="241"/>
      <c r="Z1414" s="252"/>
    </row>
    <row r="1415" spans="3:26" ht="16.5">
      <c r="C1415" s="101"/>
      <c r="D1415" s="101"/>
      <c r="E1415" s="101"/>
      <c r="F1415" s="101"/>
      <c r="G1415" s="101"/>
      <c r="H1415" s="101"/>
      <c r="I1415" s="101"/>
      <c r="J1415" s="101"/>
      <c r="S1415" s="101"/>
      <c r="T1415" s="241"/>
      <c r="U1415" s="241"/>
      <c r="V1415" s="241"/>
      <c r="W1415" s="241"/>
      <c r="X1415" s="241"/>
      <c r="Y1415" s="241"/>
      <c r="Z1415" s="252"/>
    </row>
    <row r="1416" spans="3:26" ht="16.5">
      <c r="C1416" s="101"/>
      <c r="D1416" s="101"/>
      <c r="E1416" s="101"/>
      <c r="F1416" s="101"/>
      <c r="G1416" s="101"/>
      <c r="H1416" s="101"/>
      <c r="I1416" s="101"/>
      <c r="J1416" s="101"/>
      <c r="S1416" s="101"/>
      <c r="T1416" s="241"/>
      <c r="U1416" s="241"/>
      <c r="V1416" s="241"/>
      <c r="W1416" s="241"/>
      <c r="X1416" s="241"/>
      <c r="Y1416" s="241"/>
      <c r="Z1416" s="252"/>
    </row>
    <row r="1417" spans="3:26" ht="16.5">
      <c r="C1417" s="101"/>
      <c r="D1417" s="101"/>
      <c r="E1417" s="101"/>
      <c r="F1417" s="101"/>
      <c r="G1417" s="101"/>
      <c r="H1417" s="101"/>
      <c r="I1417" s="101"/>
      <c r="J1417" s="101"/>
      <c r="S1417" s="101"/>
      <c r="T1417" s="241"/>
      <c r="U1417" s="241"/>
      <c r="V1417" s="241"/>
      <c r="W1417" s="241"/>
      <c r="X1417" s="241"/>
      <c r="Y1417" s="241"/>
      <c r="Z1417" s="252"/>
    </row>
    <row r="1418" spans="3:26" ht="16.5">
      <c r="C1418" s="101"/>
      <c r="D1418" s="101"/>
      <c r="E1418" s="101"/>
      <c r="F1418" s="101"/>
      <c r="G1418" s="101"/>
      <c r="H1418" s="101"/>
      <c r="I1418" s="101"/>
      <c r="J1418" s="101"/>
      <c r="S1418" s="101"/>
      <c r="T1418" s="241"/>
      <c r="U1418" s="241"/>
      <c r="V1418" s="241"/>
      <c r="W1418" s="241"/>
      <c r="X1418" s="241"/>
      <c r="Y1418" s="241"/>
      <c r="Z1418" s="252"/>
    </row>
    <row r="1419" spans="3:26" ht="16.5">
      <c r="C1419" s="101"/>
      <c r="D1419" s="101"/>
      <c r="E1419" s="101"/>
      <c r="F1419" s="101"/>
      <c r="G1419" s="101"/>
      <c r="H1419" s="101"/>
      <c r="I1419" s="101"/>
      <c r="J1419" s="101"/>
      <c r="S1419" s="101"/>
      <c r="T1419" s="241"/>
      <c r="U1419" s="241"/>
      <c r="V1419" s="241"/>
      <c r="W1419" s="241"/>
      <c r="X1419" s="241"/>
      <c r="Y1419" s="241"/>
      <c r="Z1419" s="252"/>
    </row>
    <row r="1420" spans="3:26" ht="16.5">
      <c r="C1420" s="101"/>
      <c r="D1420" s="101"/>
      <c r="E1420" s="101"/>
      <c r="F1420" s="101"/>
      <c r="G1420" s="101"/>
      <c r="H1420" s="101"/>
      <c r="I1420" s="101"/>
      <c r="J1420" s="101"/>
      <c r="S1420" s="101"/>
      <c r="T1420" s="241"/>
      <c r="U1420" s="241"/>
      <c r="V1420" s="241"/>
      <c r="W1420" s="241"/>
      <c r="X1420" s="241"/>
      <c r="Y1420" s="241"/>
      <c r="Z1420" s="252"/>
    </row>
    <row r="1421" spans="3:26" ht="16.5">
      <c r="C1421" s="101"/>
      <c r="D1421" s="101"/>
      <c r="E1421" s="101"/>
      <c r="F1421" s="101"/>
      <c r="G1421" s="101"/>
      <c r="H1421" s="101"/>
      <c r="I1421" s="101"/>
      <c r="J1421" s="101"/>
      <c r="S1421" s="101"/>
      <c r="T1421" s="241"/>
      <c r="U1421" s="241"/>
      <c r="V1421" s="241"/>
      <c r="W1421" s="241"/>
      <c r="X1421" s="241"/>
      <c r="Y1421" s="241"/>
      <c r="Z1421" s="252"/>
    </row>
    <row r="1422" spans="3:26" ht="16.5">
      <c r="C1422" s="101"/>
      <c r="D1422" s="101"/>
      <c r="E1422" s="101"/>
      <c r="F1422" s="101"/>
      <c r="G1422" s="101"/>
      <c r="H1422" s="101"/>
      <c r="I1422" s="101"/>
      <c r="J1422" s="101"/>
      <c r="S1422" s="101"/>
      <c r="T1422" s="241"/>
      <c r="U1422" s="241"/>
      <c r="V1422" s="241"/>
      <c r="W1422" s="241"/>
      <c r="X1422" s="241"/>
      <c r="Y1422" s="241"/>
      <c r="Z1422" s="252"/>
    </row>
    <row r="1423" spans="3:26" ht="16.5">
      <c r="C1423" s="101"/>
      <c r="D1423" s="101"/>
      <c r="E1423" s="101"/>
      <c r="F1423" s="101"/>
      <c r="G1423" s="101"/>
      <c r="H1423" s="101"/>
      <c r="I1423" s="101"/>
      <c r="J1423" s="101"/>
      <c r="S1423" s="101"/>
      <c r="T1423" s="241"/>
      <c r="U1423" s="241"/>
      <c r="V1423" s="241"/>
      <c r="W1423" s="241"/>
      <c r="X1423" s="241"/>
      <c r="Y1423" s="241"/>
      <c r="Z1423" s="252"/>
    </row>
    <row r="1424" spans="3:26" ht="16.5">
      <c r="C1424" s="101"/>
      <c r="D1424" s="101"/>
      <c r="E1424" s="101"/>
      <c r="F1424" s="101"/>
      <c r="G1424" s="101"/>
      <c r="H1424" s="101"/>
      <c r="I1424" s="101"/>
      <c r="J1424" s="101"/>
      <c r="S1424" s="101"/>
      <c r="T1424" s="241"/>
      <c r="U1424" s="241"/>
      <c r="V1424" s="241"/>
      <c r="W1424" s="241"/>
      <c r="X1424" s="241"/>
      <c r="Y1424" s="241"/>
      <c r="Z1424" s="252"/>
    </row>
    <row r="1425" spans="3:26" ht="16.5">
      <c r="C1425" s="101"/>
      <c r="D1425" s="101"/>
      <c r="E1425" s="101"/>
      <c r="F1425" s="101"/>
      <c r="G1425" s="101"/>
      <c r="H1425" s="101"/>
      <c r="I1425" s="101"/>
      <c r="J1425" s="101"/>
      <c r="S1425" s="101"/>
      <c r="T1425" s="241"/>
      <c r="U1425" s="241"/>
      <c r="V1425" s="241"/>
      <c r="W1425" s="241"/>
      <c r="X1425" s="241"/>
      <c r="Y1425" s="241"/>
      <c r="Z1425" s="252"/>
    </row>
    <row r="1426" spans="3:26" ht="16.5">
      <c r="C1426" s="101"/>
      <c r="D1426" s="101"/>
      <c r="E1426" s="101"/>
      <c r="F1426" s="101"/>
      <c r="G1426" s="101"/>
      <c r="H1426" s="101"/>
      <c r="I1426" s="101"/>
      <c r="J1426" s="101"/>
      <c r="S1426" s="101"/>
      <c r="T1426" s="241"/>
      <c r="U1426" s="241"/>
      <c r="V1426" s="241"/>
      <c r="W1426" s="241"/>
      <c r="X1426" s="241"/>
      <c r="Y1426" s="241"/>
      <c r="Z1426" s="252"/>
    </row>
    <row r="1427" spans="3:26" ht="16.5">
      <c r="C1427" s="101"/>
      <c r="D1427" s="101"/>
      <c r="E1427" s="101"/>
      <c r="F1427" s="101"/>
      <c r="G1427" s="101"/>
      <c r="H1427" s="101"/>
      <c r="I1427" s="101"/>
      <c r="J1427" s="101"/>
      <c r="S1427" s="101"/>
      <c r="T1427" s="241"/>
      <c r="U1427" s="241"/>
      <c r="V1427" s="241"/>
      <c r="W1427" s="241"/>
      <c r="X1427" s="241"/>
      <c r="Y1427" s="241"/>
      <c r="Z1427" s="252"/>
    </row>
    <row r="1428" spans="3:26" ht="16.5">
      <c r="C1428" s="101"/>
      <c r="D1428" s="101"/>
      <c r="E1428" s="101"/>
      <c r="F1428" s="101"/>
      <c r="G1428" s="101"/>
      <c r="H1428" s="101"/>
      <c r="I1428" s="101"/>
      <c r="J1428" s="101"/>
      <c r="S1428" s="101"/>
      <c r="T1428" s="241"/>
      <c r="U1428" s="241"/>
      <c r="V1428" s="241"/>
      <c r="W1428" s="241"/>
      <c r="X1428" s="241"/>
      <c r="Y1428" s="241"/>
      <c r="Z1428" s="252"/>
    </row>
    <row r="1429" spans="3:26" ht="16.5">
      <c r="C1429" s="101"/>
      <c r="D1429" s="101"/>
      <c r="E1429" s="101"/>
      <c r="F1429" s="101"/>
      <c r="G1429" s="101"/>
      <c r="H1429" s="101"/>
      <c r="I1429" s="101"/>
      <c r="J1429" s="101"/>
      <c r="S1429" s="101"/>
      <c r="T1429" s="241"/>
      <c r="U1429" s="241"/>
      <c r="V1429" s="241"/>
      <c r="W1429" s="241"/>
      <c r="X1429" s="241"/>
      <c r="Y1429" s="241"/>
      <c r="Z1429" s="252"/>
    </row>
    <row r="1430" spans="3:26" ht="16.5">
      <c r="C1430" s="101"/>
      <c r="D1430" s="101"/>
      <c r="E1430" s="101"/>
      <c r="F1430" s="101"/>
      <c r="G1430" s="101"/>
      <c r="H1430" s="101"/>
      <c r="I1430" s="101"/>
      <c r="J1430" s="101"/>
      <c r="S1430" s="101"/>
      <c r="T1430" s="241"/>
      <c r="U1430" s="241"/>
      <c r="V1430" s="241"/>
      <c r="W1430" s="241"/>
      <c r="X1430" s="241"/>
      <c r="Y1430" s="241"/>
      <c r="Z1430" s="252"/>
    </row>
    <row r="1431" spans="3:26" ht="16.5">
      <c r="C1431" s="101"/>
      <c r="D1431" s="101"/>
      <c r="E1431" s="101"/>
      <c r="F1431" s="101"/>
      <c r="G1431" s="101"/>
      <c r="H1431" s="101"/>
      <c r="I1431" s="101"/>
      <c r="J1431" s="101"/>
      <c r="S1431" s="101"/>
      <c r="T1431" s="241"/>
      <c r="U1431" s="241"/>
      <c r="V1431" s="241"/>
      <c r="W1431" s="241"/>
      <c r="X1431" s="241"/>
      <c r="Y1431" s="241"/>
      <c r="Z1431" s="252"/>
    </row>
    <row r="1432" spans="3:26" ht="16.5">
      <c r="C1432" s="101"/>
      <c r="D1432" s="101"/>
      <c r="E1432" s="101"/>
      <c r="F1432" s="101"/>
      <c r="G1432" s="101"/>
      <c r="H1432" s="101"/>
      <c r="I1432" s="101"/>
      <c r="J1432" s="101"/>
      <c r="S1432" s="101"/>
      <c r="T1432" s="241"/>
      <c r="U1432" s="241"/>
      <c r="V1432" s="241"/>
      <c r="W1432" s="241"/>
      <c r="X1432" s="241"/>
      <c r="Y1432" s="241"/>
      <c r="Z1432" s="252"/>
    </row>
    <row r="1433" spans="3:26" ht="16.5">
      <c r="C1433" s="101"/>
      <c r="D1433" s="101"/>
      <c r="E1433" s="101"/>
      <c r="F1433" s="101"/>
      <c r="G1433" s="101"/>
      <c r="H1433" s="101"/>
      <c r="I1433" s="101"/>
      <c r="J1433" s="101"/>
      <c r="S1433" s="101"/>
      <c r="T1433" s="241"/>
      <c r="U1433" s="241"/>
      <c r="V1433" s="241"/>
      <c r="W1433" s="241"/>
      <c r="X1433" s="241"/>
      <c r="Y1433" s="241"/>
      <c r="Z1433" s="252"/>
    </row>
    <row r="1434" spans="3:26" ht="16.5">
      <c r="C1434" s="101"/>
      <c r="D1434" s="101"/>
      <c r="E1434" s="101"/>
      <c r="F1434" s="101"/>
      <c r="G1434" s="101"/>
      <c r="H1434" s="101"/>
      <c r="I1434" s="101"/>
      <c r="J1434" s="101"/>
      <c r="S1434" s="101"/>
      <c r="T1434" s="241"/>
      <c r="U1434" s="241"/>
      <c r="V1434" s="241"/>
      <c r="W1434" s="241"/>
      <c r="X1434" s="241"/>
      <c r="Y1434" s="241"/>
      <c r="Z1434" s="252"/>
    </row>
    <row r="1435" spans="3:26" ht="16.5">
      <c r="C1435" s="101"/>
      <c r="D1435" s="101"/>
      <c r="E1435" s="101"/>
      <c r="F1435" s="101"/>
      <c r="G1435" s="101"/>
      <c r="H1435" s="101"/>
      <c r="I1435" s="101"/>
      <c r="J1435" s="101"/>
      <c r="S1435" s="101"/>
      <c r="T1435" s="241"/>
      <c r="U1435" s="241"/>
      <c r="V1435" s="241"/>
      <c r="W1435" s="241"/>
      <c r="X1435" s="241"/>
      <c r="Y1435" s="241"/>
      <c r="Z1435" s="252"/>
    </row>
    <row r="1436" spans="3:26" ht="16.5">
      <c r="C1436" s="101"/>
      <c r="D1436" s="101"/>
      <c r="E1436" s="101"/>
      <c r="F1436" s="101"/>
      <c r="G1436" s="101"/>
      <c r="H1436" s="101"/>
      <c r="I1436" s="101"/>
      <c r="J1436" s="101"/>
      <c r="S1436" s="101"/>
      <c r="T1436" s="241"/>
      <c r="U1436" s="241"/>
      <c r="V1436" s="241"/>
      <c r="W1436" s="241"/>
      <c r="X1436" s="241"/>
      <c r="Y1436" s="241"/>
      <c r="Z1436" s="252"/>
    </row>
    <row r="1437" spans="3:26" ht="16.5">
      <c r="C1437" s="101"/>
      <c r="D1437" s="101"/>
      <c r="E1437" s="101"/>
      <c r="F1437" s="101"/>
      <c r="G1437" s="101"/>
      <c r="H1437" s="101"/>
      <c r="I1437" s="101"/>
      <c r="J1437" s="101"/>
      <c r="S1437" s="101"/>
      <c r="T1437" s="241"/>
      <c r="U1437" s="241"/>
      <c r="V1437" s="241"/>
      <c r="W1437" s="241"/>
      <c r="X1437" s="241"/>
      <c r="Y1437" s="241"/>
      <c r="Z1437" s="252"/>
    </row>
    <row r="1438" spans="3:26" ht="16.5">
      <c r="C1438" s="101"/>
      <c r="D1438" s="101"/>
      <c r="E1438" s="101"/>
      <c r="F1438" s="101"/>
      <c r="G1438" s="101"/>
      <c r="H1438" s="101"/>
      <c r="I1438" s="101"/>
      <c r="J1438" s="101"/>
      <c r="S1438" s="101"/>
      <c r="T1438" s="241"/>
      <c r="U1438" s="241"/>
      <c r="V1438" s="241"/>
      <c r="W1438" s="241"/>
      <c r="X1438" s="241"/>
      <c r="Y1438" s="241"/>
      <c r="Z1438" s="252"/>
    </row>
    <row r="1439" spans="3:26" ht="16.5">
      <c r="C1439" s="101"/>
      <c r="D1439" s="101"/>
      <c r="E1439" s="101"/>
      <c r="F1439" s="101"/>
      <c r="G1439" s="101"/>
      <c r="H1439" s="101"/>
      <c r="I1439" s="101"/>
      <c r="J1439" s="101"/>
      <c r="S1439" s="101"/>
      <c r="T1439" s="241"/>
      <c r="U1439" s="241"/>
      <c r="V1439" s="241"/>
      <c r="W1439" s="241"/>
      <c r="X1439" s="241"/>
      <c r="Y1439" s="241"/>
      <c r="Z1439" s="252"/>
    </row>
    <row r="1440" spans="3:26" ht="16.5">
      <c r="C1440" s="101"/>
      <c r="D1440" s="101"/>
      <c r="E1440" s="101"/>
      <c r="F1440" s="101"/>
      <c r="G1440" s="101"/>
      <c r="H1440" s="101"/>
      <c r="I1440" s="101"/>
      <c r="J1440" s="101"/>
      <c r="S1440" s="101"/>
      <c r="T1440" s="241"/>
      <c r="U1440" s="241"/>
      <c r="V1440" s="241"/>
      <c r="W1440" s="241"/>
      <c r="X1440" s="241"/>
      <c r="Y1440" s="241"/>
      <c r="Z1440" s="252"/>
    </row>
    <row r="1441" spans="3:26" ht="16.5">
      <c r="C1441" s="101"/>
      <c r="D1441" s="101"/>
      <c r="E1441" s="101"/>
      <c r="F1441" s="101"/>
      <c r="G1441" s="101"/>
      <c r="H1441" s="101"/>
      <c r="I1441" s="101"/>
      <c r="J1441" s="101"/>
      <c r="S1441" s="101"/>
      <c r="T1441" s="241"/>
      <c r="U1441" s="241"/>
      <c r="V1441" s="241"/>
      <c r="W1441" s="241"/>
      <c r="X1441" s="241"/>
      <c r="Y1441" s="241"/>
      <c r="Z1441" s="252"/>
    </row>
    <row r="1442" spans="3:26" ht="16.5">
      <c r="C1442" s="101"/>
      <c r="D1442" s="101"/>
      <c r="E1442" s="101"/>
      <c r="F1442" s="101"/>
      <c r="G1442" s="101"/>
      <c r="H1442" s="101"/>
      <c r="I1442" s="101"/>
      <c r="J1442" s="101"/>
      <c r="S1442" s="101"/>
      <c r="T1442" s="241"/>
      <c r="U1442" s="241"/>
      <c r="V1442" s="241"/>
      <c r="W1442" s="241"/>
      <c r="X1442" s="241"/>
      <c r="Y1442" s="241"/>
      <c r="Z1442" s="252"/>
    </row>
    <row r="1443" spans="3:26" ht="16.5">
      <c r="C1443" s="101"/>
      <c r="D1443" s="101"/>
      <c r="E1443" s="101"/>
      <c r="F1443" s="101"/>
      <c r="G1443" s="101"/>
      <c r="H1443" s="101"/>
      <c r="I1443" s="101"/>
      <c r="J1443" s="101"/>
      <c r="S1443" s="101"/>
      <c r="T1443" s="241"/>
      <c r="U1443" s="241"/>
      <c r="V1443" s="241"/>
      <c r="W1443" s="241"/>
      <c r="X1443" s="241"/>
      <c r="Y1443" s="241"/>
      <c r="Z1443" s="252"/>
    </row>
    <row r="1444" spans="3:26" ht="16.5">
      <c r="C1444" s="101"/>
      <c r="D1444" s="101"/>
      <c r="E1444" s="101"/>
      <c r="F1444" s="101"/>
      <c r="G1444" s="101"/>
      <c r="H1444" s="101"/>
      <c r="I1444" s="101"/>
      <c r="J1444" s="101"/>
      <c r="S1444" s="101"/>
      <c r="T1444" s="241"/>
      <c r="U1444" s="241"/>
      <c r="V1444" s="241"/>
      <c r="W1444" s="241"/>
      <c r="X1444" s="241"/>
      <c r="Y1444" s="241"/>
      <c r="Z1444" s="252"/>
    </row>
    <row r="1445" spans="3:26" ht="16.5">
      <c r="C1445" s="101"/>
      <c r="D1445" s="101"/>
      <c r="E1445" s="101"/>
      <c r="F1445" s="101"/>
      <c r="G1445" s="101"/>
      <c r="H1445" s="101"/>
      <c r="I1445" s="101"/>
      <c r="J1445" s="101"/>
      <c r="S1445" s="101"/>
      <c r="T1445" s="241"/>
      <c r="U1445" s="241"/>
      <c r="V1445" s="241"/>
      <c r="W1445" s="241"/>
      <c r="X1445" s="241"/>
      <c r="Y1445" s="241"/>
      <c r="Z1445" s="252"/>
    </row>
    <row r="1446" spans="3:26" ht="16.5">
      <c r="C1446" s="101"/>
      <c r="D1446" s="101"/>
      <c r="E1446" s="101"/>
      <c r="F1446" s="101"/>
      <c r="G1446" s="101"/>
      <c r="H1446" s="101"/>
      <c r="I1446" s="101"/>
      <c r="J1446" s="101"/>
      <c r="S1446" s="101"/>
      <c r="T1446" s="241"/>
      <c r="U1446" s="241"/>
      <c r="V1446" s="241"/>
      <c r="W1446" s="241"/>
      <c r="X1446" s="241"/>
      <c r="Y1446" s="241"/>
      <c r="Z1446" s="252"/>
    </row>
    <row r="1447" spans="3:26" ht="16.5">
      <c r="C1447" s="101"/>
      <c r="D1447" s="101"/>
      <c r="E1447" s="101"/>
      <c r="F1447" s="101"/>
      <c r="G1447" s="101"/>
      <c r="H1447" s="101"/>
      <c r="I1447" s="101"/>
      <c r="J1447" s="101"/>
      <c r="S1447" s="101"/>
      <c r="T1447" s="241"/>
      <c r="U1447" s="241"/>
      <c r="V1447" s="241"/>
      <c r="W1447" s="241"/>
      <c r="X1447" s="241"/>
      <c r="Y1447" s="241"/>
      <c r="Z1447" s="252"/>
    </row>
    <row r="1448" spans="3:26" ht="16.5">
      <c r="C1448" s="101"/>
      <c r="D1448" s="101"/>
      <c r="E1448" s="101"/>
      <c r="F1448" s="101"/>
      <c r="G1448" s="101"/>
      <c r="H1448" s="101"/>
      <c r="I1448" s="101"/>
      <c r="J1448" s="101"/>
      <c r="S1448" s="101"/>
      <c r="T1448" s="241"/>
      <c r="U1448" s="241"/>
      <c r="V1448" s="241"/>
      <c r="W1448" s="241"/>
      <c r="X1448" s="241"/>
      <c r="Y1448" s="241"/>
      <c r="Z1448" s="252"/>
    </row>
    <row r="1449" spans="3:26" ht="16.5">
      <c r="C1449" s="101"/>
      <c r="D1449" s="101"/>
      <c r="E1449" s="101"/>
      <c r="F1449" s="101"/>
      <c r="G1449" s="101"/>
      <c r="H1449" s="101"/>
      <c r="I1449" s="101"/>
      <c r="J1449" s="101"/>
      <c r="S1449" s="101"/>
      <c r="T1449" s="241"/>
      <c r="U1449" s="241"/>
      <c r="V1449" s="241"/>
      <c r="W1449" s="241"/>
      <c r="X1449" s="241"/>
      <c r="Y1449" s="241"/>
      <c r="Z1449" s="252"/>
    </row>
    <row r="1450" spans="3:26" ht="16.5">
      <c r="C1450" s="101"/>
      <c r="D1450" s="101"/>
      <c r="E1450" s="101"/>
      <c r="F1450" s="101"/>
      <c r="G1450" s="101"/>
      <c r="H1450" s="101"/>
      <c r="I1450" s="101"/>
      <c r="J1450" s="101"/>
      <c r="S1450" s="101"/>
      <c r="T1450" s="241"/>
      <c r="U1450" s="241"/>
      <c r="V1450" s="241"/>
      <c r="W1450" s="241"/>
      <c r="X1450" s="241"/>
      <c r="Y1450" s="241"/>
      <c r="Z1450" s="252"/>
    </row>
    <row r="1451" spans="3:26" ht="16.5">
      <c r="C1451" s="101"/>
      <c r="D1451" s="101"/>
      <c r="E1451" s="101"/>
      <c r="F1451" s="101"/>
      <c r="G1451" s="101"/>
      <c r="H1451" s="101"/>
      <c r="I1451" s="101"/>
      <c r="J1451" s="101"/>
      <c r="S1451" s="101"/>
      <c r="T1451" s="241"/>
      <c r="U1451" s="241"/>
      <c r="V1451" s="241"/>
      <c r="W1451" s="241"/>
      <c r="X1451" s="241"/>
      <c r="Y1451" s="241"/>
      <c r="Z1451" s="252"/>
    </row>
    <row r="1452" spans="3:26" ht="16.5">
      <c r="C1452" s="101"/>
      <c r="D1452" s="101"/>
      <c r="E1452" s="101"/>
      <c r="F1452" s="101"/>
      <c r="G1452" s="101"/>
      <c r="H1452" s="101"/>
      <c r="I1452" s="101"/>
      <c r="J1452" s="101"/>
      <c r="S1452" s="101"/>
      <c r="T1452" s="241"/>
      <c r="U1452" s="241"/>
      <c r="V1452" s="241"/>
      <c r="W1452" s="241"/>
      <c r="X1452" s="241"/>
      <c r="Y1452" s="241"/>
      <c r="Z1452" s="252"/>
    </row>
    <row r="1453" spans="3:26" ht="16.5">
      <c r="C1453" s="101"/>
      <c r="D1453" s="101"/>
      <c r="E1453" s="101"/>
      <c r="F1453" s="101"/>
      <c r="G1453" s="101"/>
      <c r="H1453" s="101"/>
      <c r="I1453" s="101"/>
      <c r="J1453" s="101"/>
      <c r="S1453" s="101"/>
      <c r="T1453" s="241"/>
      <c r="U1453" s="241"/>
      <c r="V1453" s="241"/>
      <c r="W1453" s="241"/>
      <c r="X1453" s="241"/>
      <c r="Y1453" s="241"/>
      <c r="Z1453" s="252"/>
    </row>
    <row r="1454" spans="3:26" ht="16.5">
      <c r="C1454" s="101"/>
      <c r="D1454" s="101"/>
      <c r="E1454" s="101"/>
      <c r="F1454" s="101"/>
      <c r="G1454" s="101"/>
      <c r="H1454" s="101"/>
      <c r="I1454" s="101"/>
      <c r="J1454" s="101"/>
      <c r="S1454" s="101"/>
      <c r="T1454" s="241"/>
      <c r="U1454" s="241"/>
      <c r="V1454" s="241"/>
      <c r="W1454" s="241"/>
      <c r="X1454" s="241"/>
      <c r="Y1454" s="241"/>
      <c r="Z1454" s="252"/>
    </row>
    <row r="1455" spans="3:26" ht="16.5">
      <c r="C1455" s="101"/>
      <c r="D1455" s="101"/>
      <c r="E1455" s="101"/>
      <c r="F1455" s="101"/>
      <c r="G1455" s="101"/>
      <c r="H1455" s="101"/>
      <c r="I1455" s="101"/>
      <c r="J1455" s="101"/>
      <c r="S1455" s="101"/>
      <c r="T1455" s="241"/>
      <c r="U1455" s="241"/>
      <c r="V1455" s="241"/>
      <c r="W1455" s="241"/>
      <c r="X1455" s="241"/>
      <c r="Y1455" s="241"/>
      <c r="Z1455" s="252"/>
    </row>
    <row r="1456" spans="3:26" ht="16.5">
      <c r="C1456" s="101"/>
      <c r="D1456" s="101"/>
      <c r="E1456" s="101"/>
      <c r="F1456" s="101"/>
      <c r="G1456" s="101"/>
      <c r="H1456" s="101"/>
      <c r="I1456" s="101"/>
      <c r="J1456" s="101"/>
      <c r="S1456" s="101"/>
      <c r="T1456" s="241"/>
      <c r="U1456" s="241"/>
      <c r="V1456" s="241"/>
      <c r="W1456" s="241"/>
      <c r="X1456" s="241"/>
      <c r="Y1456" s="241"/>
      <c r="Z1456" s="252"/>
    </row>
    <row r="1457" spans="3:26" ht="16.5">
      <c r="C1457" s="101"/>
      <c r="D1457" s="101"/>
      <c r="E1457" s="101"/>
      <c r="F1457" s="101"/>
      <c r="G1457" s="101"/>
      <c r="H1457" s="101"/>
      <c r="I1457" s="101"/>
      <c r="J1457" s="101"/>
      <c r="S1457" s="101"/>
      <c r="T1457" s="241"/>
      <c r="U1457" s="241"/>
      <c r="V1457" s="241"/>
      <c r="W1457" s="241"/>
      <c r="X1457" s="241"/>
      <c r="Y1457" s="241"/>
      <c r="Z1457" s="252"/>
    </row>
    <row r="1458" spans="3:26" ht="16.5">
      <c r="C1458" s="101"/>
      <c r="D1458" s="101"/>
      <c r="E1458" s="101"/>
      <c r="F1458" s="101"/>
      <c r="G1458" s="101"/>
      <c r="H1458" s="101"/>
      <c r="I1458" s="101"/>
      <c r="J1458" s="101"/>
      <c r="S1458" s="101"/>
      <c r="T1458" s="241"/>
      <c r="U1458" s="241"/>
      <c r="V1458" s="241"/>
      <c r="W1458" s="241"/>
      <c r="X1458" s="241"/>
      <c r="Y1458" s="241"/>
      <c r="Z1458" s="252"/>
    </row>
    <row r="1459" spans="3:26" ht="16.5">
      <c r="C1459" s="101"/>
      <c r="D1459" s="101"/>
      <c r="E1459" s="101"/>
      <c r="F1459" s="101"/>
      <c r="G1459" s="101"/>
      <c r="H1459" s="101"/>
      <c r="I1459" s="101"/>
      <c r="J1459" s="101"/>
      <c r="S1459" s="101"/>
      <c r="T1459" s="241"/>
      <c r="U1459" s="241"/>
      <c r="V1459" s="241"/>
      <c r="W1459" s="241"/>
      <c r="X1459" s="241"/>
      <c r="Y1459" s="241"/>
      <c r="Z1459" s="252"/>
    </row>
    <row r="1460" spans="3:26" ht="16.5">
      <c r="C1460" s="101"/>
      <c r="D1460" s="101"/>
      <c r="E1460" s="101"/>
      <c r="F1460" s="101"/>
      <c r="G1460" s="101"/>
      <c r="H1460" s="101"/>
      <c r="I1460" s="101"/>
      <c r="J1460" s="101"/>
      <c r="S1460" s="101"/>
      <c r="T1460" s="241"/>
      <c r="U1460" s="241"/>
      <c r="V1460" s="241"/>
      <c r="W1460" s="241"/>
      <c r="X1460" s="241"/>
      <c r="Y1460" s="241"/>
      <c r="Z1460" s="252"/>
    </row>
    <row r="1461" spans="3:26" ht="16.5">
      <c r="C1461" s="101"/>
      <c r="D1461" s="101"/>
      <c r="E1461" s="101"/>
      <c r="F1461" s="101"/>
      <c r="G1461" s="101"/>
      <c r="H1461" s="101"/>
      <c r="I1461" s="101"/>
      <c r="J1461" s="101"/>
      <c r="S1461" s="101"/>
      <c r="T1461" s="241"/>
      <c r="U1461" s="241"/>
      <c r="V1461" s="241"/>
      <c r="W1461" s="241"/>
      <c r="X1461" s="241"/>
      <c r="Y1461" s="241"/>
      <c r="Z1461" s="252"/>
    </row>
    <row r="1462" spans="3:26" ht="16.5">
      <c r="C1462" s="101"/>
      <c r="D1462" s="101"/>
      <c r="E1462" s="101"/>
      <c r="F1462" s="101"/>
      <c r="G1462" s="101"/>
      <c r="H1462" s="101"/>
      <c r="I1462" s="101"/>
      <c r="J1462" s="101"/>
      <c r="S1462" s="101"/>
      <c r="T1462" s="241"/>
      <c r="U1462" s="241"/>
      <c r="V1462" s="241"/>
      <c r="W1462" s="241"/>
      <c r="X1462" s="241"/>
      <c r="Y1462" s="241"/>
      <c r="Z1462" s="252"/>
    </row>
    <row r="1463" spans="3:26" ht="16.5">
      <c r="C1463" s="101"/>
      <c r="D1463" s="101"/>
      <c r="E1463" s="101"/>
      <c r="F1463" s="101"/>
      <c r="G1463" s="101"/>
      <c r="H1463" s="101"/>
      <c r="I1463" s="101"/>
      <c r="J1463" s="101"/>
      <c r="S1463" s="101"/>
      <c r="T1463" s="241"/>
      <c r="U1463" s="241"/>
      <c r="V1463" s="241"/>
      <c r="W1463" s="241"/>
      <c r="X1463" s="241"/>
      <c r="Y1463" s="241"/>
      <c r="Z1463" s="252"/>
    </row>
    <row r="1464" spans="3:26" ht="16.5">
      <c r="C1464" s="101"/>
      <c r="D1464" s="101"/>
      <c r="E1464" s="101"/>
      <c r="F1464" s="101"/>
      <c r="G1464" s="101"/>
      <c r="H1464" s="101"/>
      <c r="I1464" s="101"/>
      <c r="J1464" s="101"/>
      <c r="S1464" s="101"/>
      <c r="T1464" s="241"/>
      <c r="U1464" s="241"/>
      <c r="V1464" s="241"/>
      <c r="W1464" s="241"/>
      <c r="X1464" s="241"/>
      <c r="Y1464" s="241"/>
      <c r="Z1464" s="252"/>
    </row>
    <row r="1465" spans="3:26" ht="16.5">
      <c r="C1465" s="101"/>
      <c r="D1465" s="101"/>
      <c r="E1465" s="101"/>
      <c r="F1465" s="101"/>
      <c r="G1465" s="101"/>
      <c r="H1465" s="101"/>
      <c r="I1465" s="101"/>
      <c r="J1465" s="101"/>
      <c r="S1465" s="101"/>
      <c r="T1465" s="241"/>
      <c r="U1465" s="241"/>
      <c r="V1465" s="241"/>
      <c r="W1465" s="241"/>
      <c r="X1465" s="241"/>
      <c r="Y1465" s="241"/>
      <c r="Z1465" s="252"/>
    </row>
    <row r="1466" spans="3:26" ht="16.5">
      <c r="C1466" s="101"/>
      <c r="D1466" s="101"/>
      <c r="E1466" s="101"/>
      <c r="F1466" s="101"/>
      <c r="G1466" s="101"/>
      <c r="H1466" s="101"/>
      <c r="I1466" s="101"/>
      <c r="J1466" s="101"/>
      <c r="S1466" s="101"/>
      <c r="T1466" s="241"/>
      <c r="U1466" s="241"/>
      <c r="V1466" s="241"/>
      <c r="W1466" s="241"/>
      <c r="X1466" s="241"/>
      <c r="Y1466" s="241"/>
      <c r="Z1466" s="252"/>
    </row>
    <row r="1467" spans="3:26" ht="16.5">
      <c r="C1467" s="101"/>
      <c r="D1467" s="101"/>
      <c r="E1467" s="101"/>
      <c r="F1467" s="101"/>
      <c r="G1467" s="101"/>
      <c r="H1467" s="101"/>
      <c r="I1467" s="101"/>
      <c r="J1467" s="101"/>
      <c r="S1467" s="101"/>
      <c r="T1467" s="241"/>
      <c r="U1467" s="241"/>
      <c r="V1467" s="241"/>
      <c r="W1467" s="241"/>
      <c r="X1467" s="241"/>
      <c r="Y1467" s="241"/>
      <c r="Z1467" s="252"/>
    </row>
    <row r="1468" spans="3:26" ht="16.5">
      <c r="C1468" s="101"/>
      <c r="D1468" s="101"/>
      <c r="E1468" s="101"/>
      <c r="F1468" s="101"/>
      <c r="G1468" s="101"/>
      <c r="H1468" s="101"/>
      <c r="I1468" s="101"/>
      <c r="J1468" s="101"/>
      <c r="S1468" s="101"/>
      <c r="T1468" s="241"/>
      <c r="U1468" s="241"/>
      <c r="V1468" s="241"/>
      <c r="W1468" s="241"/>
      <c r="X1468" s="241"/>
      <c r="Y1468" s="241"/>
      <c r="Z1468" s="252"/>
    </row>
    <row r="1469" spans="3:26" ht="16.5">
      <c r="C1469" s="101"/>
      <c r="D1469" s="101"/>
      <c r="E1469" s="101"/>
      <c r="F1469" s="101"/>
      <c r="G1469" s="101"/>
      <c r="H1469" s="101"/>
      <c r="I1469" s="101"/>
      <c r="J1469" s="101"/>
      <c r="S1469" s="101"/>
      <c r="T1469" s="241"/>
      <c r="U1469" s="241"/>
      <c r="V1469" s="241"/>
      <c r="W1469" s="241"/>
      <c r="X1469" s="241"/>
      <c r="Y1469" s="241"/>
      <c r="Z1469" s="252"/>
    </row>
    <row r="1470" spans="3:26" ht="16.5">
      <c r="C1470" s="101"/>
      <c r="D1470" s="101"/>
      <c r="E1470" s="101"/>
      <c r="F1470" s="101"/>
      <c r="G1470" s="101"/>
      <c r="H1470" s="101"/>
      <c r="I1470" s="101"/>
      <c r="J1470" s="101"/>
      <c r="S1470" s="101"/>
      <c r="T1470" s="241"/>
      <c r="U1470" s="241"/>
      <c r="V1470" s="241"/>
      <c r="W1470" s="241"/>
      <c r="X1470" s="241"/>
      <c r="Y1470" s="241"/>
      <c r="Z1470" s="252"/>
    </row>
    <row r="1471" spans="3:26" ht="16.5">
      <c r="C1471" s="101"/>
      <c r="D1471" s="101"/>
      <c r="E1471" s="101"/>
      <c r="F1471" s="101"/>
      <c r="G1471" s="101"/>
      <c r="H1471" s="101"/>
      <c r="I1471" s="101"/>
      <c r="J1471" s="101"/>
      <c r="S1471" s="101"/>
      <c r="T1471" s="241"/>
      <c r="U1471" s="241"/>
      <c r="V1471" s="241"/>
      <c r="W1471" s="241"/>
      <c r="X1471" s="241"/>
      <c r="Y1471" s="241"/>
      <c r="Z1471" s="252"/>
    </row>
    <row r="1472" spans="3:26" ht="16.5">
      <c r="C1472" s="101"/>
      <c r="D1472" s="101"/>
      <c r="E1472" s="101"/>
      <c r="F1472" s="101"/>
      <c r="G1472" s="101"/>
      <c r="H1472" s="101"/>
      <c r="I1472" s="101"/>
      <c r="J1472" s="101"/>
      <c r="S1472" s="101"/>
      <c r="T1472" s="241"/>
      <c r="U1472" s="241"/>
      <c r="V1472" s="241"/>
      <c r="W1472" s="241"/>
      <c r="X1472" s="241"/>
      <c r="Y1472" s="241"/>
      <c r="Z1472" s="252"/>
    </row>
    <row r="1473" spans="3:26" ht="16.5">
      <c r="C1473" s="101"/>
      <c r="D1473" s="101"/>
      <c r="E1473" s="101"/>
      <c r="F1473" s="101"/>
      <c r="G1473" s="101"/>
      <c r="H1473" s="101"/>
      <c r="I1473" s="101"/>
      <c r="J1473" s="101"/>
      <c r="S1473" s="101"/>
      <c r="T1473" s="241"/>
      <c r="U1473" s="241"/>
      <c r="V1473" s="241"/>
      <c r="W1473" s="241"/>
      <c r="X1473" s="241"/>
      <c r="Y1473" s="241"/>
      <c r="Z1473" s="252"/>
    </row>
    <row r="1474" spans="3:26" ht="16.5">
      <c r="C1474" s="101"/>
      <c r="D1474" s="101"/>
      <c r="E1474" s="101"/>
      <c r="F1474" s="101"/>
      <c r="G1474" s="101"/>
      <c r="H1474" s="101"/>
      <c r="I1474" s="101"/>
      <c r="J1474" s="101"/>
      <c r="S1474" s="101"/>
      <c r="T1474" s="241"/>
      <c r="U1474" s="241"/>
      <c r="V1474" s="241"/>
      <c r="W1474" s="241"/>
      <c r="X1474" s="241"/>
      <c r="Y1474" s="241"/>
      <c r="Z1474" s="252"/>
    </row>
    <row r="1475" spans="3:26" ht="16.5">
      <c r="C1475" s="101"/>
      <c r="D1475" s="101"/>
      <c r="E1475" s="101"/>
      <c r="F1475" s="101"/>
      <c r="G1475" s="101"/>
      <c r="H1475" s="101"/>
      <c r="I1475" s="101"/>
      <c r="J1475" s="101"/>
      <c r="S1475" s="101"/>
      <c r="T1475" s="241"/>
      <c r="U1475" s="241"/>
      <c r="V1475" s="241"/>
      <c r="W1475" s="241"/>
      <c r="X1475" s="241"/>
      <c r="Y1475" s="241"/>
      <c r="Z1475" s="252"/>
    </row>
    <row r="1476" spans="3:26" ht="16.5">
      <c r="C1476" s="101"/>
      <c r="D1476" s="101"/>
      <c r="E1476" s="101"/>
      <c r="F1476" s="101"/>
      <c r="G1476" s="101"/>
      <c r="H1476" s="101"/>
      <c r="I1476" s="101"/>
      <c r="J1476" s="101"/>
      <c r="S1476" s="101"/>
      <c r="T1476" s="241"/>
      <c r="U1476" s="241"/>
      <c r="V1476" s="241"/>
      <c r="W1476" s="241"/>
      <c r="X1476" s="241"/>
      <c r="Y1476" s="241"/>
      <c r="Z1476" s="252"/>
    </row>
    <row r="1477" spans="3:26" ht="16.5">
      <c r="C1477" s="101"/>
      <c r="D1477" s="101"/>
      <c r="E1477" s="101"/>
      <c r="F1477" s="101"/>
      <c r="G1477" s="101"/>
      <c r="H1477" s="101"/>
      <c r="I1477" s="101"/>
      <c r="J1477" s="101"/>
      <c r="S1477" s="101"/>
      <c r="T1477" s="241"/>
      <c r="U1477" s="241"/>
      <c r="V1477" s="241"/>
      <c r="W1477" s="241"/>
      <c r="X1477" s="241"/>
      <c r="Y1477" s="241"/>
      <c r="Z1477" s="252"/>
    </row>
    <row r="1478" spans="3:26" ht="16.5">
      <c r="C1478" s="101"/>
      <c r="D1478" s="101"/>
      <c r="E1478" s="101"/>
      <c r="F1478" s="101"/>
      <c r="G1478" s="101"/>
      <c r="H1478" s="101"/>
      <c r="I1478" s="101"/>
      <c r="J1478" s="101"/>
      <c r="S1478" s="101"/>
      <c r="T1478" s="241"/>
      <c r="U1478" s="241"/>
      <c r="V1478" s="241"/>
      <c r="W1478" s="241"/>
      <c r="X1478" s="241"/>
      <c r="Y1478" s="241"/>
      <c r="Z1478" s="252"/>
    </row>
    <row r="1479" spans="3:26" ht="16.5">
      <c r="C1479" s="101"/>
      <c r="D1479" s="101"/>
      <c r="E1479" s="101"/>
      <c r="F1479" s="101"/>
      <c r="G1479" s="101"/>
      <c r="H1479" s="101"/>
      <c r="I1479" s="101"/>
      <c r="J1479" s="101"/>
      <c r="S1479" s="101"/>
      <c r="T1479" s="241"/>
      <c r="U1479" s="241"/>
      <c r="V1479" s="241"/>
      <c r="W1479" s="241"/>
      <c r="X1479" s="241"/>
      <c r="Y1479" s="241"/>
      <c r="Z1479" s="252"/>
    </row>
    <row r="1480" spans="3:26" ht="16.5">
      <c r="C1480" s="101"/>
      <c r="D1480" s="101"/>
      <c r="E1480" s="101"/>
      <c r="F1480" s="101"/>
      <c r="G1480" s="101"/>
      <c r="H1480" s="101"/>
      <c r="I1480" s="101"/>
      <c r="J1480" s="101"/>
      <c r="S1480" s="101"/>
      <c r="T1480" s="241"/>
      <c r="U1480" s="241"/>
      <c r="V1480" s="241"/>
      <c r="W1480" s="241"/>
      <c r="X1480" s="241"/>
      <c r="Y1480" s="241"/>
      <c r="Z1480" s="252"/>
    </row>
    <row r="1481" spans="3:26" ht="16.5">
      <c r="C1481" s="101"/>
      <c r="D1481" s="101"/>
      <c r="E1481" s="101"/>
      <c r="F1481" s="101"/>
      <c r="G1481" s="101"/>
      <c r="H1481" s="101"/>
      <c r="I1481" s="101"/>
      <c r="J1481" s="101"/>
      <c r="S1481" s="101"/>
      <c r="T1481" s="241"/>
      <c r="U1481" s="241"/>
      <c r="V1481" s="241"/>
      <c r="W1481" s="241"/>
      <c r="X1481" s="241"/>
      <c r="Y1481" s="241"/>
      <c r="Z1481" s="252"/>
    </row>
    <row r="1482" spans="3:26" ht="16.5">
      <c r="C1482" s="101"/>
      <c r="D1482" s="101"/>
      <c r="E1482" s="101"/>
      <c r="F1482" s="101"/>
      <c r="G1482" s="101"/>
      <c r="H1482" s="101"/>
      <c r="I1482" s="101"/>
      <c r="J1482" s="101"/>
      <c r="S1482" s="101"/>
      <c r="T1482" s="241"/>
      <c r="U1482" s="241"/>
      <c r="V1482" s="241"/>
      <c r="W1482" s="241"/>
      <c r="X1482" s="241"/>
      <c r="Y1482" s="241"/>
      <c r="Z1482" s="252"/>
    </row>
    <row r="1483" spans="3:26" ht="16.5">
      <c r="C1483" s="101"/>
      <c r="D1483" s="101"/>
      <c r="E1483" s="101"/>
      <c r="F1483" s="101"/>
      <c r="G1483" s="101"/>
      <c r="H1483" s="101"/>
      <c r="I1483" s="101"/>
      <c r="J1483" s="101"/>
      <c r="S1483" s="101"/>
      <c r="T1483" s="241"/>
      <c r="U1483" s="241"/>
      <c r="V1483" s="241"/>
      <c r="W1483" s="241"/>
      <c r="X1483" s="241"/>
      <c r="Y1483" s="241"/>
      <c r="Z1483" s="252"/>
    </row>
    <row r="1484" spans="3:26" ht="16.5">
      <c r="C1484" s="101"/>
      <c r="D1484" s="101"/>
      <c r="E1484" s="101"/>
      <c r="F1484" s="101"/>
      <c r="G1484" s="101"/>
      <c r="H1484" s="101"/>
      <c r="I1484" s="101"/>
      <c r="J1484" s="101"/>
      <c r="S1484" s="101"/>
      <c r="T1484" s="241"/>
      <c r="U1484" s="241"/>
      <c r="V1484" s="241"/>
      <c r="W1484" s="241"/>
      <c r="X1484" s="241"/>
      <c r="Y1484" s="241"/>
      <c r="Z1484" s="252"/>
    </row>
    <row r="1485" spans="3:26" ht="16.5">
      <c r="C1485" s="101"/>
      <c r="D1485" s="101"/>
      <c r="E1485" s="101"/>
      <c r="F1485" s="101"/>
      <c r="G1485" s="101"/>
      <c r="H1485" s="101"/>
      <c r="I1485" s="101"/>
      <c r="J1485" s="101"/>
      <c r="S1485" s="101"/>
      <c r="T1485" s="241"/>
      <c r="U1485" s="241"/>
      <c r="V1485" s="241"/>
      <c r="W1485" s="241"/>
      <c r="X1485" s="241"/>
      <c r="Y1485" s="241"/>
      <c r="Z1485" s="252"/>
    </row>
    <row r="1486" spans="3:26" ht="16.5">
      <c r="C1486" s="101"/>
      <c r="D1486" s="101"/>
      <c r="E1486" s="101"/>
      <c r="F1486" s="101"/>
      <c r="G1486" s="101"/>
      <c r="H1486" s="101"/>
      <c r="I1486" s="101"/>
      <c r="J1486" s="101"/>
      <c r="S1486" s="101"/>
      <c r="T1486" s="241"/>
      <c r="U1486" s="241"/>
      <c r="V1486" s="241"/>
      <c r="W1486" s="241"/>
      <c r="X1486" s="241"/>
      <c r="Y1486" s="241"/>
      <c r="Z1486" s="252"/>
    </row>
    <row r="1487" spans="3:26" ht="16.5">
      <c r="C1487" s="101"/>
      <c r="D1487" s="101"/>
      <c r="E1487" s="101"/>
      <c r="F1487" s="101"/>
      <c r="G1487" s="101"/>
      <c r="H1487" s="101"/>
      <c r="I1487" s="101"/>
      <c r="J1487" s="101"/>
      <c r="S1487" s="101"/>
      <c r="T1487" s="241"/>
      <c r="U1487" s="241"/>
      <c r="V1487" s="241"/>
      <c r="W1487" s="241"/>
      <c r="X1487" s="241"/>
      <c r="Y1487" s="241"/>
      <c r="Z1487" s="252"/>
    </row>
    <row r="1488" spans="3:26" ht="16.5">
      <c r="C1488" s="101"/>
      <c r="D1488" s="101"/>
      <c r="E1488" s="101"/>
      <c r="F1488" s="101"/>
      <c r="G1488" s="101"/>
      <c r="H1488" s="101"/>
      <c r="I1488" s="101"/>
      <c r="J1488" s="101"/>
      <c r="S1488" s="101"/>
      <c r="T1488" s="241"/>
      <c r="U1488" s="241"/>
      <c r="V1488" s="241"/>
      <c r="W1488" s="241"/>
      <c r="X1488" s="241"/>
      <c r="Y1488" s="241"/>
      <c r="Z1488" s="252"/>
    </row>
    <row r="1489" spans="3:26" ht="16.5">
      <c r="C1489" s="101"/>
      <c r="D1489" s="101"/>
      <c r="E1489" s="101"/>
      <c r="F1489" s="101"/>
      <c r="G1489" s="101"/>
      <c r="H1489" s="101"/>
      <c r="I1489" s="101"/>
      <c r="J1489" s="101"/>
      <c r="S1489" s="101"/>
      <c r="T1489" s="241"/>
      <c r="U1489" s="241"/>
      <c r="V1489" s="241"/>
      <c r="W1489" s="241"/>
      <c r="X1489" s="241"/>
      <c r="Y1489" s="241"/>
      <c r="Z1489" s="252"/>
    </row>
    <row r="1490" spans="3:26" ht="16.5">
      <c r="C1490" s="101"/>
      <c r="D1490" s="101"/>
      <c r="E1490" s="101"/>
      <c r="F1490" s="101"/>
      <c r="G1490" s="101"/>
      <c r="H1490" s="101"/>
      <c r="I1490" s="101"/>
      <c r="J1490" s="101"/>
      <c r="S1490" s="101"/>
      <c r="T1490" s="241"/>
      <c r="U1490" s="241"/>
      <c r="V1490" s="241"/>
      <c r="W1490" s="241"/>
      <c r="X1490" s="241"/>
      <c r="Y1490" s="241"/>
      <c r="Z1490" s="252"/>
    </row>
    <row r="1491" spans="3:26" ht="16.5">
      <c r="C1491" s="101"/>
      <c r="D1491" s="101"/>
      <c r="E1491" s="101"/>
      <c r="F1491" s="101"/>
      <c r="G1491" s="101"/>
      <c r="H1491" s="101"/>
      <c r="I1491" s="101"/>
      <c r="J1491" s="101"/>
      <c r="S1491" s="101"/>
      <c r="T1491" s="241"/>
      <c r="U1491" s="241"/>
      <c r="V1491" s="241"/>
      <c r="W1491" s="241"/>
      <c r="X1491" s="241"/>
      <c r="Y1491" s="241"/>
      <c r="Z1491" s="252"/>
    </row>
    <row r="1492" spans="3:26" ht="16.5">
      <c r="C1492" s="101"/>
      <c r="D1492" s="101"/>
      <c r="E1492" s="101"/>
      <c r="F1492" s="101"/>
      <c r="G1492" s="101"/>
      <c r="H1492" s="101"/>
      <c r="I1492" s="101"/>
      <c r="J1492" s="101"/>
      <c r="S1492" s="101"/>
      <c r="T1492" s="241"/>
      <c r="U1492" s="241"/>
      <c r="V1492" s="241"/>
      <c r="W1492" s="241"/>
      <c r="X1492" s="241"/>
      <c r="Y1492" s="241"/>
      <c r="Z1492" s="252"/>
    </row>
    <row r="1493" spans="3:26" ht="16.5">
      <c r="C1493" s="101"/>
      <c r="D1493" s="101"/>
      <c r="E1493" s="101"/>
      <c r="F1493" s="101"/>
      <c r="G1493" s="101"/>
      <c r="H1493" s="101"/>
      <c r="I1493" s="101"/>
      <c r="J1493" s="101"/>
      <c r="S1493" s="101"/>
      <c r="T1493" s="241"/>
      <c r="U1493" s="241"/>
      <c r="V1493" s="241"/>
      <c r="W1493" s="241"/>
      <c r="X1493" s="241"/>
      <c r="Y1493" s="241"/>
      <c r="Z1493" s="252"/>
    </row>
    <row r="1494" spans="3:26" ht="16.5">
      <c r="C1494" s="101"/>
      <c r="D1494" s="101"/>
      <c r="E1494" s="101"/>
      <c r="F1494" s="101"/>
      <c r="G1494" s="101"/>
      <c r="H1494" s="101"/>
      <c r="I1494" s="101"/>
      <c r="J1494" s="101"/>
      <c r="S1494" s="101"/>
      <c r="T1494" s="241"/>
      <c r="U1494" s="241"/>
      <c r="V1494" s="241"/>
      <c r="W1494" s="241"/>
      <c r="X1494" s="241"/>
      <c r="Y1494" s="241"/>
      <c r="Z1494" s="252"/>
    </row>
    <row r="1495" spans="3:26" ht="16.5">
      <c r="C1495" s="101"/>
      <c r="D1495" s="101"/>
      <c r="E1495" s="101"/>
      <c r="F1495" s="101"/>
      <c r="G1495" s="101"/>
      <c r="H1495" s="101"/>
      <c r="I1495" s="101"/>
      <c r="J1495" s="101"/>
      <c r="S1495" s="101"/>
      <c r="T1495" s="241"/>
      <c r="U1495" s="241"/>
      <c r="V1495" s="241"/>
      <c r="W1495" s="241"/>
      <c r="X1495" s="241"/>
      <c r="Y1495" s="241"/>
      <c r="Z1495" s="252"/>
    </row>
    <row r="1496" spans="3:26" ht="16.5">
      <c r="C1496" s="101"/>
      <c r="D1496" s="101"/>
      <c r="E1496" s="101"/>
      <c r="F1496" s="101"/>
      <c r="G1496" s="101"/>
      <c r="H1496" s="101"/>
      <c r="I1496" s="101"/>
      <c r="J1496" s="101"/>
      <c r="S1496" s="101"/>
      <c r="T1496" s="241"/>
      <c r="U1496" s="241"/>
      <c r="V1496" s="241"/>
      <c r="W1496" s="241"/>
      <c r="X1496" s="241"/>
      <c r="Y1496" s="241"/>
      <c r="Z1496" s="252"/>
    </row>
    <row r="1497" spans="3:26" ht="16.5">
      <c r="C1497" s="101"/>
      <c r="D1497" s="101"/>
      <c r="E1497" s="101"/>
      <c r="F1497" s="101"/>
      <c r="G1497" s="101"/>
      <c r="H1497" s="101"/>
      <c r="I1497" s="101"/>
      <c r="J1497" s="101"/>
      <c r="S1497" s="101"/>
      <c r="T1497" s="241"/>
      <c r="U1497" s="241"/>
      <c r="V1497" s="241"/>
      <c r="W1497" s="241"/>
      <c r="X1497" s="241"/>
      <c r="Y1497" s="241"/>
      <c r="Z1497" s="252"/>
    </row>
    <row r="1498" spans="3:26" ht="16.5">
      <c r="C1498" s="101"/>
      <c r="D1498" s="101"/>
      <c r="E1498" s="101"/>
      <c r="F1498" s="101"/>
      <c r="G1498" s="101"/>
      <c r="H1498" s="101"/>
      <c r="I1498" s="101"/>
      <c r="J1498" s="101"/>
      <c r="S1498" s="101"/>
      <c r="T1498" s="241"/>
      <c r="U1498" s="241"/>
      <c r="V1498" s="241"/>
      <c r="W1498" s="241"/>
      <c r="X1498" s="241"/>
      <c r="Y1498" s="241"/>
      <c r="Z1498" s="252"/>
    </row>
    <row r="1499" spans="3:26" ht="16.5">
      <c r="C1499" s="101"/>
      <c r="D1499" s="101"/>
      <c r="E1499" s="101"/>
      <c r="F1499" s="101"/>
      <c r="G1499" s="101"/>
      <c r="H1499" s="101"/>
      <c r="I1499" s="101"/>
      <c r="J1499" s="101"/>
      <c r="S1499" s="101"/>
      <c r="T1499" s="241"/>
      <c r="U1499" s="241"/>
      <c r="V1499" s="241"/>
      <c r="W1499" s="241"/>
      <c r="X1499" s="241"/>
      <c r="Y1499" s="241"/>
      <c r="Z1499" s="252"/>
    </row>
    <row r="1500" spans="3:26" ht="16.5">
      <c r="C1500" s="101"/>
      <c r="D1500" s="101"/>
      <c r="E1500" s="101"/>
      <c r="F1500" s="101"/>
      <c r="G1500" s="101"/>
      <c r="H1500" s="101"/>
      <c r="I1500" s="101"/>
      <c r="J1500" s="101"/>
      <c r="S1500" s="101"/>
      <c r="T1500" s="241"/>
      <c r="U1500" s="241"/>
      <c r="V1500" s="241"/>
      <c r="W1500" s="241"/>
      <c r="X1500" s="241"/>
      <c r="Y1500" s="241"/>
      <c r="Z1500" s="252"/>
    </row>
    <row r="1501" spans="3:26" ht="16.5">
      <c r="C1501" s="101"/>
      <c r="D1501" s="101"/>
      <c r="E1501" s="101"/>
      <c r="F1501" s="101"/>
      <c r="G1501" s="101"/>
      <c r="H1501" s="101"/>
      <c r="I1501" s="101"/>
      <c r="J1501" s="101"/>
      <c r="S1501" s="101"/>
      <c r="T1501" s="241"/>
      <c r="U1501" s="241"/>
      <c r="V1501" s="241"/>
      <c r="W1501" s="241"/>
      <c r="X1501" s="241"/>
      <c r="Y1501" s="241"/>
      <c r="Z1501" s="252"/>
    </row>
    <row r="1502" spans="3:26" ht="16.5">
      <c r="C1502" s="101"/>
      <c r="D1502" s="101"/>
      <c r="E1502" s="101"/>
      <c r="F1502" s="101"/>
      <c r="G1502" s="101"/>
      <c r="H1502" s="101"/>
      <c r="I1502" s="101"/>
      <c r="J1502" s="101"/>
      <c r="S1502" s="101"/>
      <c r="T1502" s="241"/>
      <c r="U1502" s="241"/>
      <c r="V1502" s="241"/>
      <c r="W1502" s="241"/>
      <c r="X1502" s="241"/>
      <c r="Y1502" s="241"/>
      <c r="Z1502" s="252"/>
    </row>
    <row r="1503" spans="3:26" ht="16.5">
      <c r="C1503" s="101"/>
      <c r="D1503" s="101"/>
      <c r="E1503" s="101"/>
      <c r="F1503" s="101"/>
      <c r="G1503" s="101"/>
      <c r="H1503" s="101"/>
      <c r="I1503" s="101"/>
      <c r="J1503" s="101"/>
      <c r="S1503" s="101"/>
      <c r="T1503" s="241"/>
      <c r="U1503" s="241"/>
      <c r="V1503" s="241"/>
      <c r="W1503" s="241"/>
      <c r="X1503" s="241"/>
      <c r="Y1503" s="241"/>
      <c r="Z1503" s="252"/>
    </row>
    <row r="1504" spans="3:26" ht="16.5">
      <c r="C1504" s="101"/>
      <c r="D1504" s="101"/>
      <c r="E1504" s="101"/>
      <c r="F1504" s="101"/>
      <c r="G1504" s="101"/>
      <c r="H1504" s="101"/>
      <c r="I1504" s="101"/>
      <c r="J1504" s="101"/>
      <c r="S1504" s="101"/>
      <c r="T1504" s="241"/>
      <c r="U1504" s="241"/>
      <c r="V1504" s="241"/>
      <c r="W1504" s="241"/>
      <c r="X1504" s="241"/>
      <c r="Y1504" s="241"/>
      <c r="Z1504" s="252"/>
    </row>
    <row r="1505" spans="3:26" ht="16.5">
      <c r="C1505" s="101"/>
      <c r="D1505" s="101"/>
      <c r="E1505" s="101"/>
      <c r="F1505" s="101"/>
      <c r="G1505" s="101"/>
      <c r="H1505" s="101"/>
      <c r="I1505" s="101"/>
      <c r="J1505" s="101"/>
      <c r="S1505" s="101"/>
      <c r="T1505" s="241"/>
      <c r="U1505" s="241"/>
      <c r="V1505" s="241"/>
      <c r="W1505" s="241"/>
      <c r="X1505" s="241"/>
      <c r="Y1505" s="241"/>
      <c r="Z1505" s="252"/>
    </row>
    <row r="1506" spans="3:26" ht="16.5">
      <c r="C1506" s="101"/>
      <c r="D1506" s="101"/>
      <c r="E1506" s="101"/>
      <c r="F1506" s="101"/>
      <c r="G1506" s="101"/>
      <c r="H1506" s="101"/>
      <c r="I1506" s="101"/>
      <c r="J1506" s="101"/>
      <c r="S1506" s="101"/>
      <c r="T1506" s="241"/>
      <c r="U1506" s="241"/>
      <c r="V1506" s="241"/>
      <c r="W1506" s="241"/>
      <c r="X1506" s="241"/>
      <c r="Y1506" s="241"/>
      <c r="Z1506" s="252"/>
    </row>
    <row r="1507" spans="3:26" ht="16.5">
      <c r="C1507" s="101"/>
      <c r="D1507" s="101"/>
      <c r="E1507" s="101"/>
      <c r="F1507" s="101"/>
      <c r="G1507" s="101"/>
      <c r="H1507" s="101"/>
      <c r="I1507" s="101"/>
      <c r="J1507" s="101"/>
      <c r="S1507" s="101"/>
      <c r="T1507" s="241"/>
      <c r="U1507" s="241"/>
      <c r="V1507" s="241"/>
      <c r="W1507" s="241"/>
      <c r="X1507" s="241"/>
      <c r="Y1507" s="241"/>
      <c r="Z1507" s="252"/>
    </row>
    <row r="1508" spans="3:26" ht="16.5">
      <c r="C1508" s="101"/>
      <c r="D1508" s="101"/>
      <c r="E1508" s="101"/>
      <c r="F1508" s="101"/>
      <c r="G1508" s="101"/>
      <c r="H1508" s="101"/>
      <c r="I1508" s="101"/>
      <c r="J1508" s="101"/>
      <c r="S1508" s="101"/>
      <c r="T1508" s="241"/>
      <c r="U1508" s="241"/>
      <c r="V1508" s="241"/>
      <c r="W1508" s="241"/>
      <c r="X1508" s="241"/>
      <c r="Y1508" s="241"/>
      <c r="Z1508" s="252"/>
    </row>
    <row r="1509" spans="3:26" ht="16.5">
      <c r="C1509" s="101"/>
      <c r="D1509" s="101"/>
      <c r="E1509" s="101"/>
      <c r="F1509" s="101"/>
      <c r="G1509" s="101"/>
      <c r="H1509" s="101"/>
      <c r="I1509" s="101"/>
      <c r="J1509" s="101"/>
      <c r="S1509" s="101"/>
      <c r="T1509" s="241"/>
      <c r="U1509" s="241"/>
      <c r="V1509" s="241"/>
      <c r="W1509" s="241"/>
      <c r="X1509" s="241"/>
      <c r="Y1509" s="241"/>
      <c r="Z1509" s="252"/>
    </row>
    <row r="1510" spans="3:26" ht="16.5">
      <c r="C1510" s="101"/>
      <c r="D1510" s="101"/>
      <c r="E1510" s="101"/>
      <c r="F1510" s="101"/>
      <c r="G1510" s="101"/>
      <c r="H1510" s="101"/>
      <c r="I1510" s="101"/>
      <c r="J1510" s="101"/>
      <c r="S1510" s="101"/>
      <c r="T1510" s="241"/>
      <c r="U1510" s="241"/>
      <c r="V1510" s="241"/>
      <c r="W1510" s="241"/>
      <c r="X1510" s="241"/>
      <c r="Y1510" s="241"/>
      <c r="Z1510" s="252"/>
    </row>
    <row r="1511" spans="3:26" ht="16.5">
      <c r="C1511" s="101"/>
      <c r="D1511" s="101"/>
      <c r="E1511" s="101"/>
      <c r="F1511" s="101"/>
      <c r="G1511" s="101"/>
      <c r="H1511" s="101"/>
      <c r="I1511" s="101"/>
      <c r="J1511" s="101"/>
      <c r="S1511" s="101"/>
      <c r="T1511" s="241"/>
      <c r="U1511" s="241"/>
      <c r="V1511" s="241"/>
      <c r="W1511" s="241"/>
      <c r="X1511" s="241"/>
      <c r="Y1511" s="241"/>
      <c r="Z1511" s="252"/>
    </row>
    <row r="1512" spans="3:26" ht="16.5">
      <c r="C1512" s="101"/>
      <c r="D1512" s="101"/>
      <c r="E1512" s="101"/>
      <c r="F1512" s="101"/>
      <c r="G1512" s="101"/>
      <c r="H1512" s="101"/>
      <c r="I1512" s="101"/>
      <c r="J1512" s="101"/>
      <c r="S1512" s="101"/>
      <c r="T1512" s="241"/>
      <c r="U1512" s="241"/>
      <c r="V1512" s="241"/>
      <c r="W1512" s="241"/>
      <c r="X1512" s="241"/>
      <c r="Y1512" s="241"/>
      <c r="Z1512" s="252"/>
    </row>
    <row r="1513" spans="3:26" ht="16.5">
      <c r="C1513" s="101"/>
      <c r="D1513" s="101"/>
      <c r="E1513" s="101"/>
      <c r="F1513" s="101"/>
      <c r="G1513" s="101"/>
      <c r="H1513" s="101"/>
      <c r="I1513" s="101"/>
      <c r="J1513" s="101"/>
      <c r="S1513" s="101"/>
      <c r="T1513" s="241"/>
      <c r="U1513" s="241"/>
      <c r="V1513" s="241"/>
      <c r="W1513" s="241"/>
      <c r="X1513" s="241"/>
      <c r="Y1513" s="241"/>
      <c r="Z1513" s="252"/>
    </row>
    <row r="1514" spans="3:26" ht="16.5">
      <c r="C1514" s="101"/>
      <c r="D1514" s="101"/>
      <c r="E1514" s="101"/>
      <c r="F1514" s="101"/>
      <c r="G1514" s="101"/>
      <c r="H1514" s="101"/>
      <c r="I1514" s="101"/>
      <c r="J1514" s="101"/>
      <c r="S1514" s="101"/>
      <c r="T1514" s="241"/>
      <c r="U1514" s="241"/>
      <c r="V1514" s="241"/>
      <c r="W1514" s="241"/>
      <c r="X1514" s="241"/>
      <c r="Y1514" s="241"/>
      <c r="Z1514" s="252"/>
    </row>
    <row r="1515" spans="3:26" ht="16.5">
      <c r="C1515" s="101"/>
      <c r="D1515" s="101"/>
      <c r="E1515" s="101"/>
      <c r="F1515" s="101"/>
      <c r="G1515" s="101"/>
      <c r="H1515" s="101"/>
      <c r="I1515" s="101"/>
      <c r="J1515" s="101"/>
      <c r="S1515" s="101"/>
      <c r="T1515" s="241"/>
      <c r="U1515" s="241"/>
      <c r="V1515" s="241"/>
      <c r="W1515" s="241"/>
      <c r="X1515" s="241"/>
      <c r="Y1515" s="241"/>
      <c r="Z1515" s="252"/>
    </row>
    <row r="1516" spans="3:26" ht="16.5">
      <c r="C1516" s="101"/>
      <c r="D1516" s="101"/>
      <c r="E1516" s="101"/>
      <c r="F1516" s="101"/>
      <c r="G1516" s="101"/>
      <c r="H1516" s="101"/>
      <c r="I1516" s="101"/>
      <c r="J1516" s="101"/>
      <c r="S1516" s="101"/>
      <c r="T1516" s="241"/>
      <c r="U1516" s="241"/>
      <c r="V1516" s="241"/>
      <c r="W1516" s="241"/>
      <c r="X1516" s="241"/>
      <c r="Y1516" s="241"/>
      <c r="Z1516" s="252"/>
    </row>
    <row r="1517" spans="3:26" ht="16.5">
      <c r="C1517" s="101"/>
      <c r="D1517" s="101"/>
      <c r="E1517" s="101"/>
      <c r="F1517" s="101"/>
      <c r="G1517" s="101"/>
      <c r="H1517" s="101"/>
      <c r="I1517" s="101"/>
      <c r="J1517" s="101"/>
      <c r="S1517" s="101"/>
      <c r="T1517" s="241"/>
      <c r="U1517" s="241"/>
      <c r="V1517" s="241"/>
      <c r="W1517" s="241"/>
      <c r="X1517" s="241"/>
      <c r="Y1517" s="241"/>
      <c r="Z1517" s="252"/>
    </row>
    <row r="1518" spans="3:26" ht="16.5">
      <c r="C1518" s="101"/>
      <c r="D1518" s="101"/>
      <c r="E1518" s="101"/>
      <c r="F1518" s="101"/>
      <c r="G1518" s="101"/>
      <c r="H1518" s="101"/>
      <c r="I1518" s="101"/>
      <c r="J1518" s="101"/>
      <c r="S1518" s="101"/>
      <c r="T1518" s="241"/>
      <c r="U1518" s="241"/>
      <c r="V1518" s="241"/>
      <c r="W1518" s="241"/>
      <c r="X1518" s="241"/>
      <c r="Y1518" s="241"/>
      <c r="Z1518" s="252"/>
    </row>
    <row r="1519" spans="3:26" ht="16.5">
      <c r="C1519" s="101"/>
      <c r="D1519" s="101"/>
      <c r="E1519" s="101"/>
      <c r="F1519" s="101"/>
      <c r="G1519" s="101"/>
      <c r="H1519" s="101"/>
      <c r="I1519" s="101"/>
      <c r="J1519" s="101"/>
      <c r="S1519" s="101"/>
      <c r="T1519" s="241"/>
      <c r="U1519" s="241"/>
      <c r="V1519" s="241"/>
      <c r="W1519" s="241"/>
      <c r="X1519" s="241"/>
      <c r="Y1519" s="241"/>
      <c r="Z1519" s="252"/>
    </row>
    <row r="1520" spans="3:26" ht="16.5">
      <c r="C1520" s="101"/>
      <c r="D1520" s="101"/>
      <c r="E1520" s="101"/>
      <c r="F1520" s="101"/>
      <c r="G1520" s="101"/>
      <c r="H1520" s="101"/>
      <c r="I1520" s="101"/>
      <c r="J1520" s="101"/>
      <c r="S1520" s="101"/>
      <c r="T1520" s="241"/>
      <c r="U1520" s="241"/>
      <c r="V1520" s="241"/>
      <c r="W1520" s="241"/>
      <c r="X1520" s="241"/>
      <c r="Y1520" s="241"/>
      <c r="Z1520" s="252"/>
    </row>
    <row r="1521" spans="3:26" ht="16.5">
      <c r="C1521" s="101"/>
      <c r="D1521" s="101"/>
      <c r="E1521" s="101"/>
      <c r="F1521" s="101"/>
      <c r="G1521" s="101"/>
      <c r="H1521" s="101"/>
      <c r="I1521" s="101"/>
      <c r="J1521" s="101"/>
      <c r="S1521" s="101"/>
      <c r="T1521" s="241"/>
      <c r="U1521" s="241"/>
      <c r="V1521" s="241"/>
      <c r="W1521" s="241"/>
      <c r="X1521" s="241"/>
      <c r="Y1521" s="241"/>
      <c r="Z1521" s="252"/>
    </row>
    <row r="1522" spans="3:26" ht="16.5">
      <c r="C1522" s="101"/>
      <c r="D1522" s="101"/>
      <c r="E1522" s="101"/>
      <c r="F1522" s="101"/>
      <c r="G1522" s="101"/>
      <c r="H1522" s="101"/>
      <c r="I1522" s="101"/>
      <c r="J1522" s="101"/>
      <c r="S1522" s="101"/>
      <c r="T1522" s="241"/>
      <c r="U1522" s="241"/>
      <c r="V1522" s="241"/>
      <c r="W1522" s="241"/>
      <c r="X1522" s="241"/>
      <c r="Y1522" s="241"/>
      <c r="Z1522" s="252"/>
    </row>
    <row r="1523" spans="3:26" ht="16.5">
      <c r="C1523" s="101"/>
      <c r="D1523" s="101"/>
      <c r="E1523" s="101"/>
      <c r="F1523" s="101"/>
      <c r="G1523" s="101"/>
      <c r="H1523" s="101"/>
      <c r="I1523" s="101"/>
      <c r="J1523" s="101"/>
      <c r="S1523" s="101"/>
      <c r="T1523" s="241"/>
      <c r="U1523" s="241"/>
      <c r="V1523" s="241"/>
      <c r="W1523" s="241"/>
      <c r="X1523" s="241"/>
      <c r="Y1523" s="241"/>
      <c r="Z1523" s="252"/>
    </row>
    <row r="1524" spans="3:26" ht="16.5">
      <c r="C1524" s="101"/>
      <c r="D1524" s="101"/>
      <c r="E1524" s="101"/>
      <c r="F1524" s="101"/>
      <c r="G1524" s="101"/>
      <c r="H1524" s="101"/>
      <c r="I1524" s="101"/>
      <c r="J1524" s="101"/>
      <c r="S1524" s="101"/>
      <c r="T1524" s="241"/>
      <c r="U1524" s="241"/>
      <c r="V1524" s="241"/>
      <c r="W1524" s="241"/>
      <c r="X1524" s="241"/>
      <c r="Y1524" s="241"/>
      <c r="Z1524" s="252"/>
    </row>
    <row r="1525" spans="3:26" ht="16.5">
      <c r="C1525" s="101"/>
      <c r="D1525" s="101"/>
      <c r="E1525" s="101"/>
      <c r="F1525" s="101"/>
      <c r="G1525" s="101"/>
      <c r="H1525" s="101"/>
      <c r="I1525" s="101"/>
      <c r="J1525" s="101"/>
      <c r="S1525" s="101"/>
      <c r="T1525" s="241"/>
      <c r="U1525" s="241"/>
      <c r="V1525" s="241"/>
      <c r="W1525" s="241"/>
      <c r="X1525" s="241"/>
      <c r="Y1525" s="241"/>
      <c r="Z1525" s="252"/>
    </row>
    <row r="1526" spans="3:26" ht="16.5">
      <c r="C1526" s="101"/>
      <c r="D1526" s="101"/>
      <c r="E1526" s="101"/>
      <c r="F1526" s="101"/>
      <c r="G1526" s="101"/>
      <c r="H1526" s="101"/>
      <c r="I1526" s="101"/>
      <c r="J1526" s="101"/>
      <c r="S1526" s="101"/>
      <c r="T1526" s="241"/>
      <c r="U1526" s="241"/>
      <c r="V1526" s="241"/>
      <c r="W1526" s="241"/>
      <c r="X1526" s="241"/>
      <c r="Y1526" s="241"/>
      <c r="Z1526" s="252"/>
    </row>
    <row r="1527" spans="3:26" ht="16.5">
      <c r="C1527" s="101"/>
      <c r="D1527" s="101"/>
      <c r="E1527" s="101"/>
      <c r="F1527" s="101"/>
      <c r="G1527" s="101"/>
      <c r="H1527" s="101"/>
      <c r="I1527" s="101"/>
      <c r="J1527" s="101"/>
      <c r="S1527" s="101"/>
      <c r="T1527" s="241"/>
      <c r="U1527" s="241"/>
      <c r="V1527" s="241"/>
      <c r="W1527" s="241"/>
      <c r="X1527" s="241"/>
      <c r="Y1527" s="241"/>
      <c r="Z1527" s="252"/>
    </row>
    <row r="1528" spans="3:26" ht="16.5">
      <c r="C1528" s="101"/>
      <c r="D1528" s="101"/>
      <c r="E1528" s="101"/>
      <c r="F1528" s="101"/>
      <c r="G1528" s="101"/>
      <c r="H1528" s="101"/>
      <c r="I1528" s="101"/>
      <c r="J1528" s="101"/>
      <c r="S1528" s="101"/>
      <c r="T1528" s="241"/>
      <c r="U1528" s="241"/>
      <c r="V1528" s="241"/>
      <c r="W1528" s="241"/>
      <c r="X1528" s="241"/>
      <c r="Y1528" s="241"/>
      <c r="Z1528" s="252"/>
    </row>
    <row r="1529" spans="3:26" ht="16.5">
      <c r="C1529" s="101"/>
      <c r="D1529" s="101"/>
      <c r="E1529" s="101"/>
      <c r="F1529" s="101"/>
      <c r="G1529" s="101"/>
      <c r="H1529" s="101"/>
      <c r="I1529" s="101"/>
      <c r="J1529" s="101"/>
      <c r="S1529" s="101"/>
      <c r="T1529" s="241"/>
      <c r="U1529" s="241"/>
      <c r="V1529" s="241"/>
      <c r="W1529" s="241"/>
      <c r="X1529" s="241"/>
      <c r="Y1529" s="241"/>
      <c r="Z1529" s="252"/>
    </row>
    <row r="1530" spans="3:26" ht="16.5">
      <c r="C1530" s="101"/>
      <c r="D1530" s="101"/>
      <c r="E1530" s="101"/>
      <c r="F1530" s="101"/>
      <c r="G1530" s="101"/>
      <c r="H1530" s="101"/>
      <c r="I1530" s="101"/>
      <c r="J1530" s="101"/>
      <c r="S1530" s="101"/>
      <c r="T1530" s="241"/>
      <c r="U1530" s="241"/>
      <c r="V1530" s="241"/>
      <c r="W1530" s="241"/>
      <c r="X1530" s="241"/>
      <c r="Y1530" s="241"/>
      <c r="Z1530" s="252"/>
    </row>
    <row r="1531" spans="3:26" ht="16.5">
      <c r="C1531" s="101"/>
      <c r="D1531" s="101"/>
      <c r="E1531" s="101"/>
      <c r="F1531" s="101"/>
      <c r="G1531" s="101"/>
      <c r="H1531" s="101"/>
      <c r="I1531" s="101"/>
      <c r="J1531" s="101"/>
      <c r="S1531" s="101"/>
      <c r="T1531" s="241"/>
      <c r="U1531" s="241"/>
      <c r="V1531" s="241"/>
      <c r="W1531" s="241"/>
      <c r="X1531" s="241"/>
      <c r="Y1531" s="241"/>
      <c r="Z1531" s="252"/>
    </row>
    <row r="1532" spans="3:26" ht="16.5">
      <c r="C1532" s="101"/>
      <c r="D1532" s="101"/>
      <c r="E1532" s="101"/>
      <c r="F1532" s="101"/>
      <c r="G1532" s="101"/>
      <c r="H1532" s="101"/>
      <c r="I1532" s="101"/>
      <c r="J1532" s="101"/>
      <c r="S1532" s="101"/>
      <c r="T1532" s="241"/>
      <c r="U1532" s="241"/>
      <c r="V1532" s="241"/>
      <c r="W1532" s="241"/>
      <c r="X1532" s="241"/>
      <c r="Y1532" s="241"/>
      <c r="Z1532" s="252"/>
    </row>
    <row r="1533" spans="3:26" ht="16.5">
      <c r="C1533" s="101"/>
      <c r="D1533" s="101"/>
      <c r="E1533" s="101"/>
      <c r="F1533" s="101"/>
      <c r="G1533" s="101"/>
      <c r="H1533" s="101"/>
      <c r="I1533" s="101"/>
      <c r="J1533" s="101"/>
      <c r="S1533" s="101"/>
      <c r="T1533" s="241"/>
      <c r="U1533" s="241"/>
      <c r="V1533" s="241"/>
      <c r="W1533" s="241"/>
      <c r="X1533" s="241"/>
      <c r="Y1533" s="241"/>
      <c r="Z1533" s="252"/>
    </row>
    <row r="1534" spans="3:26" ht="16.5">
      <c r="C1534" s="101"/>
      <c r="D1534" s="101"/>
      <c r="E1534" s="101"/>
      <c r="F1534" s="101"/>
      <c r="G1534" s="101"/>
      <c r="H1534" s="101"/>
      <c r="I1534" s="101"/>
      <c r="J1534" s="101"/>
      <c r="S1534" s="101"/>
      <c r="T1534" s="241"/>
      <c r="U1534" s="241"/>
      <c r="V1534" s="241"/>
      <c r="W1534" s="241"/>
      <c r="X1534" s="241"/>
      <c r="Y1534" s="241"/>
      <c r="Z1534" s="252"/>
    </row>
    <row r="1535" spans="3:26" ht="16.5">
      <c r="C1535" s="101"/>
      <c r="D1535" s="101"/>
      <c r="E1535" s="101"/>
      <c r="F1535" s="101"/>
      <c r="G1535" s="101"/>
      <c r="H1535" s="101"/>
      <c r="I1535" s="101"/>
      <c r="J1535" s="101"/>
      <c r="S1535" s="101"/>
      <c r="T1535" s="241"/>
      <c r="U1535" s="241"/>
      <c r="V1535" s="241"/>
      <c r="W1535" s="241"/>
      <c r="X1535" s="241"/>
      <c r="Y1535" s="241"/>
      <c r="Z1535" s="252"/>
    </row>
    <row r="1536" spans="3:26" ht="16.5">
      <c r="C1536" s="101"/>
      <c r="D1536" s="101"/>
      <c r="E1536" s="101"/>
      <c r="F1536" s="101"/>
      <c r="G1536" s="101"/>
      <c r="H1536" s="101"/>
      <c r="I1536" s="101"/>
      <c r="J1536" s="101"/>
      <c r="S1536" s="101"/>
      <c r="T1536" s="241"/>
      <c r="U1536" s="241"/>
      <c r="V1536" s="241"/>
      <c r="W1536" s="241"/>
      <c r="X1536" s="241"/>
      <c r="Y1536" s="241"/>
      <c r="Z1536" s="252"/>
    </row>
    <row r="1537" spans="3:26" ht="16.5">
      <c r="C1537" s="101"/>
      <c r="D1537" s="101"/>
      <c r="E1537" s="101"/>
      <c r="F1537" s="101"/>
      <c r="G1537" s="101"/>
      <c r="H1537" s="101"/>
      <c r="I1537" s="101"/>
      <c r="J1537" s="101"/>
      <c r="S1537" s="101"/>
      <c r="T1537" s="241"/>
      <c r="U1537" s="241"/>
      <c r="V1537" s="241"/>
      <c r="W1537" s="241"/>
      <c r="X1537" s="241"/>
      <c r="Y1537" s="241"/>
      <c r="Z1537" s="252"/>
    </row>
    <row r="1538" spans="3:26" ht="16.5">
      <c r="C1538" s="101"/>
      <c r="D1538" s="101"/>
      <c r="E1538" s="101"/>
      <c r="F1538" s="101"/>
      <c r="G1538" s="101"/>
      <c r="H1538" s="101"/>
      <c r="I1538" s="101"/>
      <c r="J1538" s="101"/>
      <c r="S1538" s="101"/>
      <c r="T1538" s="241"/>
      <c r="U1538" s="241"/>
      <c r="V1538" s="241"/>
      <c r="W1538" s="241"/>
      <c r="X1538" s="241"/>
      <c r="Y1538" s="241"/>
      <c r="Z1538" s="252"/>
    </row>
    <row r="1539" spans="3:26" ht="16.5">
      <c r="C1539" s="101"/>
      <c r="D1539" s="101"/>
      <c r="E1539" s="101"/>
      <c r="F1539" s="101"/>
      <c r="G1539" s="101"/>
      <c r="H1539" s="101"/>
      <c r="I1539" s="101"/>
      <c r="J1539" s="101"/>
      <c r="S1539" s="101"/>
      <c r="T1539" s="241"/>
      <c r="U1539" s="241"/>
      <c r="V1539" s="241"/>
      <c r="W1539" s="241"/>
      <c r="X1539" s="241"/>
      <c r="Y1539" s="241"/>
      <c r="Z1539" s="252"/>
    </row>
    <row r="1540" spans="3:26" ht="16.5">
      <c r="C1540" s="101"/>
      <c r="D1540" s="101"/>
      <c r="E1540" s="101"/>
      <c r="F1540" s="101"/>
      <c r="G1540" s="101"/>
      <c r="H1540" s="101"/>
      <c r="I1540" s="101"/>
      <c r="J1540" s="101"/>
      <c r="S1540" s="101"/>
      <c r="T1540" s="241"/>
      <c r="U1540" s="241"/>
      <c r="V1540" s="241"/>
      <c r="W1540" s="241"/>
      <c r="X1540" s="241"/>
      <c r="Y1540" s="241"/>
      <c r="Z1540" s="252"/>
    </row>
    <row r="1541" spans="3:26" ht="16.5">
      <c r="C1541" s="101"/>
      <c r="D1541" s="101"/>
      <c r="E1541" s="101"/>
      <c r="F1541" s="101"/>
      <c r="G1541" s="101"/>
      <c r="H1541" s="101"/>
      <c r="I1541" s="101"/>
      <c r="J1541" s="101"/>
      <c r="S1541" s="101"/>
      <c r="T1541" s="241"/>
      <c r="U1541" s="241"/>
      <c r="V1541" s="241"/>
      <c r="W1541" s="241"/>
      <c r="X1541" s="241"/>
      <c r="Y1541" s="241"/>
      <c r="Z1541" s="252"/>
    </row>
    <row r="1542" spans="3:26" ht="16.5">
      <c r="C1542" s="101"/>
      <c r="D1542" s="101"/>
      <c r="E1542" s="101"/>
      <c r="F1542" s="101"/>
      <c r="G1542" s="101"/>
      <c r="H1542" s="101"/>
      <c r="I1542" s="101"/>
      <c r="J1542" s="101"/>
      <c r="S1542" s="101"/>
      <c r="T1542" s="241"/>
      <c r="U1542" s="241"/>
      <c r="V1542" s="241"/>
      <c r="W1542" s="241"/>
      <c r="X1542" s="241"/>
      <c r="Y1542" s="241"/>
      <c r="Z1542" s="252"/>
    </row>
    <row r="1543" spans="3:26" ht="16.5">
      <c r="C1543" s="101"/>
      <c r="D1543" s="101"/>
      <c r="E1543" s="101"/>
      <c r="F1543" s="101"/>
      <c r="G1543" s="101"/>
      <c r="H1543" s="101"/>
      <c r="I1543" s="101"/>
      <c r="J1543" s="101"/>
      <c r="S1543" s="101"/>
      <c r="T1543" s="241"/>
      <c r="U1543" s="241"/>
      <c r="V1543" s="241"/>
      <c r="W1543" s="241"/>
      <c r="X1543" s="241"/>
      <c r="Y1543" s="241"/>
      <c r="Z1543" s="252"/>
    </row>
    <row r="1544" spans="3:26" ht="16.5">
      <c r="C1544" s="101"/>
      <c r="D1544" s="101"/>
      <c r="E1544" s="101"/>
      <c r="F1544" s="101"/>
      <c r="G1544" s="101"/>
      <c r="H1544" s="101"/>
      <c r="I1544" s="101"/>
      <c r="J1544" s="101"/>
      <c r="S1544" s="101"/>
      <c r="T1544" s="241"/>
      <c r="U1544" s="241"/>
      <c r="V1544" s="241"/>
      <c r="W1544" s="241"/>
      <c r="X1544" s="241"/>
      <c r="Y1544" s="241"/>
      <c r="Z1544" s="252"/>
    </row>
    <row r="1545" spans="3:26" ht="16.5">
      <c r="C1545" s="101"/>
      <c r="D1545" s="101"/>
      <c r="E1545" s="101"/>
      <c r="F1545" s="101"/>
      <c r="G1545" s="101"/>
      <c r="H1545" s="101"/>
      <c r="I1545" s="101"/>
      <c r="J1545" s="101"/>
      <c r="S1545" s="101"/>
      <c r="T1545" s="241"/>
      <c r="U1545" s="241"/>
      <c r="V1545" s="241"/>
      <c r="W1545" s="241"/>
      <c r="X1545" s="241"/>
      <c r="Y1545" s="241"/>
      <c r="Z1545" s="252"/>
    </row>
    <row r="1546" spans="3:26" ht="16.5">
      <c r="C1546" s="101"/>
      <c r="D1546" s="101"/>
      <c r="E1546" s="101"/>
      <c r="F1546" s="101"/>
      <c r="G1546" s="101"/>
      <c r="H1546" s="101"/>
      <c r="I1546" s="101"/>
      <c r="J1546" s="101"/>
      <c r="S1546" s="101"/>
      <c r="T1546" s="241"/>
      <c r="U1546" s="241"/>
      <c r="V1546" s="241"/>
      <c r="W1546" s="241"/>
      <c r="X1546" s="241"/>
      <c r="Y1546" s="241"/>
      <c r="Z1546" s="252"/>
    </row>
    <row r="1547" spans="3:26" ht="16.5">
      <c r="C1547" s="101"/>
      <c r="D1547" s="101"/>
      <c r="E1547" s="101"/>
      <c r="F1547" s="101"/>
      <c r="G1547" s="101"/>
      <c r="H1547" s="101"/>
      <c r="I1547" s="101"/>
      <c r="J1547" s="101"/>
      <c r="S1547" s="101"/>
      <c r="T1547" s="241"/>
      <c r="U1547" s="241"/>
      <c r="V1547" s="241"/>
      <c r="W1547" s="241"/>
      <c r="X1547" s="241"/>
      <c r="Y1547" s="241"/>
      <c r="Z1547" s="252"/>
    </row>
    <row r="1548" spans="3:26" ht="16.5">
      <c r="C1548" s="101"/>
      <c r="D1548" s="101"/>
      <c r="E1548" s="101"/>
      <c r="F1548" s="101"/>
      <c r="G1548" s="101"/>
      <c r="H1548" s="101"/>
      <c r="I1548" s="101"/>
      <c r="J1548" s="101"/>
      <c r="S1548" s="101"/>
      <c r="T1548" s="241"/>
      <c r="U1548" s="241"/>
      <c r="V1548" s="241"/>
      <c r="W1548" s="241"/>
      <c r="X1548" s="241"/>
      <c r="Y1548" s="241"/>
      <c r="Z1548" s="252"/>
    </row>
    <row r="1549" spans="3:26" ht="16.5">
      <c r="C1549" s="101"/>
      <c r="D1549" s="101"/>
      <c r="E1549" s="101"/>
      <c r="F1549" s="101"/>
      <c r="G1549" s="101"/>
      <c r="H1549" s="101"/>
      <c r="I1549" s="101"/>
      <c r="J1549" s="101"/>
      <c r="S1549" s="101"/>
      <c r="T1549" s="241"/>
      <c r="U1549" s="241"/>
      <c r="V1549" s="241"/>
      <c r="W1549" s="241"/>
      <c r="X1549" s="241"/>
      <c r="Y1549" s="241"/>
      <c r="Z1549" s="252"/>
    </row>
    <row r="1550" spans="3:26" ht="16.5">
      <c r="C1550" s="101"/>
      <c r="D1550" s="101"/>
      <c r="E1550" s="101"/>
      <c r="F1550" s="101"/>
      <c r="G1550" s="101"/>
      <c r="H1550" s="101"/>
      <c r="I1550" s="101"/>
      <c r="J1550" s="101"/>
      <c r="S1550" s="101"/>
      <c r="T1550" s="241"/>
      <c r="U1550" s="241"/>
      <c r="V1550" s="241"/>
      <c r="W1550" s="241"/>
      <c r="X1550" s="241"/>
      <c r="Y1550" s="241"/>
      <c r="Z1550" s="252"/>
    </row>
    <row r="1551" spans="3:26" ht="16.5">
      <c r="C1551" s="101"/>
      <c r="D1551" s="101"/>
      <c r="E1551" s="101"/>
      <c r="F1551" s="101"/>
      <c r="G1551" s="101"/>
      <c r="H1551" s="101"/>
      <c r="I1551" s="101"/>
      <c r="J1551" s="101"/>
      <c r="S1551" s="101"/>
      <c r="T1551" s="241"/>
      <c r="U1551" s="241"/>
      <c r="V1551" s="241"/>
      <c r="W1551" s="241"/>
      <c r="X1551" s="241"/>
      <c r="Y1551" s="241"/>
      <c r="Z1551" s="252"/>
    </row>
    <row r="1552" spans="3:26" ht="16.5">
      <c r="C1552" s="101"/>
      <c r="D1552" s="101"/>
      <c r="E1552" s="101"/>
      <c r="F1552" s="101"/>
      <c r="G1552" s="101"/>
      <c r="H1552" s="101"/>
      <c r="I1552" s="101"/>
      <c r="J1552" s="101"/>
      <c r="S1552" s="101"/>
      <c r="T1552" s="241"/>
      <c r="U1552" s="241"/>
      <c r="V1552" s="241"/>
      <c r="W1552" s="241"/>
      <c r="X1552" s="241"/>
      <c r="Y1552" s="241"/>
      <c r="Z1552" s="252"/>
    </row>
    <row r="1553" spans="3:26" ht="16.5">
      <c r="C1553" s="101"/>
      <c r="D1553" s="101"/>
      <c r="E1553" s="101"/>
      <c r="F1553" s="101"/>
      <c r="G1553" s="101"/>
      <c r="H1553" s="101"/>
      <c r="I1553" s="101"/>
      <c r="J1553" s="101"/>
      <c r="S1553" s="101"/>
      <c r="T1553" s="241"/>
      <c r="U1553" s="241"/>
      <c r="V1553" s="241"/>
      <c r="W1553" s="241"/>
      <c r="X1553" s="241"/>
      <c r="Y1553" s="241"/>
      <c r="Z1553" s="252"/>
    </row>
    <row r="1554" spans="3:26" ht="16.5">
      <c r="C1554" s="101"/>
      <c r="D1554" s="101"/>
      <c r="E1554" s="101"/>
      <c r="F1554" s="101"/>
      <c r="G1554" s="101"/>
      <c r="H1554" s="101"/>
      <c r="I1554" s="101"/>
      <c r="J1554" s="101"/>
      <c r="S1554" s="101"/>
      <c r="T1554" s="241"/>
      <c r="U1554" s="241"/>
      <c r="V1554" s="241"/>
      <c r="W1554" s="241"/>
      <c r="X1554" s="241"/>
      <c r="Y1554" s="241"/>
      <c r="Z1554" s="252"/>
    </row>
    <row r="1555" spans="3:26" ht="16.5">
      <c r="C1555" s="101"/>
      <c r="D1555" s="101"/>
      <c r="E1555" s="101"/>
      <c r="F1555" s="101"/>
      <c r="G1555" s="101"/>
      <c r="H1555" s="101"/>
      <c r="I1555" s="101"/>
      <c r="J1555" s="101"/>
      <c r="S1555" s="101"/>
      <c r="T1555" s="241"/>
      <c r="U1555" s="241"/>
      <c r="V1555" s="241"/>
      <c r="W1555" s="241"/>
      <c r="X1555" s="241"/>
      <c r="Y1555" s="241"/>
      <c r="Z1555" s="252"/>
    </row>
    <row r="1556" spans="3:26" ht="16.5">
      <c r="C1556" s="101"/>
      <c r="D1556" s="101"/>
      <c r="E1556" s="101"/>
      <c r="F1556" s="101"/>
      <c r="G1556" s="101"/>
      <c r="H1556" s="101"/>
      <c r="I1556" s="101"/>
      <c r="J1556" s="101"/>
      <c r="S1556" s="101"/>
      <c r="T1556" s="241"/>
      <c r="U1556" s="241"/>
      <c r="V1556" s="241"/>
      <c r="W1556" s="241"/>
      <c r="X1556" s="241"/>
      <c r="Y1556" s="241"/>
      <c r="Z1556" s="252"/>
    </row>
    <row r="1557" spans="3:26" ht="16.5">
      <c r="C1557" s="101"/>
      <c r="D1557" s="101"/>
      <c r="E1557" s="101"/>
      <c r="F1557" s="101"/>
      <c r="G1557" s="101"/>
      <c r="H1557" s="101"/>
      <c r="I1557" s="101"/>
      <c r="J1557" s="101"/>
      <c r="S1557" s="101"/>
      <c r="T1557" s="241"/>
      <c r="U1557" s="241"/>
      <c r="V1557" s="241"/>
      <c r="W1557" s="241"/>
      <c r="X1557" s="241"/>
      <c r="Y1557" s="241"/>
      <c r="Z1557" s="252"/>
    </row>
    <row r="1558" spans="3:26" ht="16.5">
      <c r="C1558" s="101"/>
      <c r="D1558" s="101"/>
      <c r="E1558" s="101"/>
      <c r="F1558" s="101"/>
      <c r="G1558" s="101"/>
      <c r="H1558" s="101"/>
      <c r="I1558" s="101"/>
      <c r="J1558" s="101"/>
      <c r="S1558" s="101"/>
      <c r="T1558" s="241"/>
      <c r="U1558" s="241"/>
      <c r="V1558" s="241"/>
      <c r="W1558" s="241"/>
      <c r="X1558" s="241"/>
      <c r="Y1558" s="241"/>
      <c r="Z1558" s="252"/>
    </row>
    <row r="1559" spans="3:26" ht="16.5">
      <c r="C1559" s="101"/>
      <c r="D1559" s="101"/>
      <c r="E1559" s="101"/>
      <c r="F1559" s="101"/>
      <c r="G1559" s="101"/>
      <c r="H1559" s="101"/>
      <c r="I1559" s="101"/>
      <c r="J1559" s="101"/>
      <c r="S1559" s="101"/>
      <c r="T1559" s="241"/>
      <c r="U1559" s="241"/>
      <c r="V1559" s="241"/>
      <c r="W1559" s="241"/>
      <c r="X1559" s="241"/>
      <c r="Y1559" s="241"/>
      <c r="Z1559" s="252"/>
    </row>
    <row r="1560" spans="3:26" ht="16.5">
      <c r="C1560" s="101"/>
      <c r="D1560" s="101"/>
      <c r="E1560" s="101"/>
      <c r="F1560" s="101"/>
      <c r="G1560" s="101"/>
      <c r="H1560" s="101"/>
      <c r="I1560" s="101"/>
      <c r="J1560" s="101"/>
      <c r="S1560" s="101"/>
      <c r="T1560" s="241"/>
      <c r="U1560" s="241"/>
      <c r="V1560" s="241"/>
      <c r="W1560" s="241"/>
      <c r="X1560" s="241"/>
      <c r="Y1560" s="241"/>
      <c r="Z1560" s="252"/>
    </row>
    <row r="1561" spans="3:26" ht="16.5">
      <c r="C1561" s="101"/>
      <c r="D1561" s="101"/>
      <c r="E1561" s="101"/>
      <c r="F1561" s="101"/>
      <c r="G1561" s="101"/>
      <c r="H1561" s="101"/>
      <c r="I1561" s="101"/>
      <c r="J1561" s="101"/>
      <c r="S1561" s="101"/>
      <c r="T1561" s="241"/>
      <c r="U1561" s="241"/>
      <c r="V1561" s="241"/>
      <c r="W1561" s="241"/>
      <c r="X1561" s="241"/>
      <c r="Y1561" s="241"/>
      <c r="Z1561" s="252"/>
    </row>
    <row r="1562" spans="3:26" ht="16.5">
      <c r="C1562" s="101"/>
      <c r="D1562" s="101"/>
      <c r="E1562" s="101"/>
      <c r="F1562" s="101"/>
      <c r="G1562" s="101"/>
      <c r="H1562" s="101"/>
      <c r="I1562" s="101"/>
      <c r="J1562" s="101"/>
      <c r="S1562" s="101"/>
      <c r="T1562" s="241"/>
      <c r="U1562" s="241"/>
      <c r="V1562" s="241"/>
      <c r="W1562" s="241"/>
      <c r="X1562" s="241"/>
      <c r="Y1562" s="241"/>
      <c r="Z1562" s="252"/>
    </row>
    <row r="1563" spans="3:26" ht="16.5">
      <c r="C1563" s="101"/>
      <c r="D1563" s="101"/>
      <c r="E1563" s="101"/>
      <c r="F1563" s="101"/>
      <c r="G1563" s="101"/>
      <c r="H1563" s="101"/>
      <c r="I1563" s="101"/>
      <c r="J1563" s="101"/>
      <c r="S1563" s="101"/>
      <c r="T1563" s="241"/>
      <c r="U1563" s="241"/>
      <c r="V1563" s="241"/>
      <c r="W1563" s="241"/>
      <c r="X1563" s="241"/>
      <c r="Y1563" s="241"/>
      <c r="Z1563" s="252"/>
    </row>
    <row r="1564" spans="3:26" ht="16.5">
      <c r="C1564" s="101"/>
      <c r="D1564" s="101"/>
      <c r="E1564" s="101"/>
      <c r="F1564" s="101"/>
      <c r="G1564" s="101"/>
      <c r="H1564" s="101"/>
      <c r="I1564" s="101"/>
      <c r="J1564" s="101"/>
      <c r="S1564" s="101"/>
      <c r="T1564" s="241"/>
      <c r="U1564" s="241"/>
      <c r="V1564" s="241"/>
      <c r="W1564" s="241"/>
      <c r="X1564" s="241"/>
      <c r="Y1564" s="241"/>
      <c r="Z1564" s="252"/>
    </row>
    <row r="1565" spans="3:26" ht="16.5">
      <c r="C1565" s="101"/>
      <c r="D1565" s="101"/>
      <c r="E1565" s="101"/>
      <c r="F1565" s="101"/>
      <c r="G1565" s="101"/>
      <c r="H1565" s="101"/>
      <c r="I1565" s="101"/>
      <c r="J1565" s="101"/>
      <c r="S1565" s="101"/>
      <c r="T1565" s="241"/>
      <c r="U1565" s="241"/>
      <c r="V1565" s="241"/>
      <c r="W1565" s="241"/>
      <c r="X1565" s="241"/>
      <c r="Y1565" s="241"/>
      <c r="Z1565" s="252"/>
    </row>
    <row r="1566" spans="3:26" ht="16.5">
      <c r="C1566" s="101"/>
      <c r="D1566" s="101"/>
      <c r="E1566" s="101"/>
      <c r="F1566" s="101"/>
      <c r="G1566" s="101"/>
      <c r="H1566" s="101"/>
      <c r="I1566" s="101"/>
      <c r="J1566" s="101"/>
      <c r="S1566" s="101"/>
      <c r="T1566" s="241"/>
      <c r="U1566" s="241"/>
      <c r="V1566" s="241"/>
      <c r="W1566" s="241"/>
      <c r="X1566" s="241"/>
      <c r="Y1566" s="241"/>
      <c r="Z1566" s="252"/>
    </row>
    <row r="1567" spans="3:26" ht="16.5">
      <c r="C1567" s="101"/>
      <c r="D1567" s="101"/>
      <c r="E1567" s="101"/>
      <c r="F1567" s="101"/>
      <c r="G1567" s="101"/>
      <c r="H1567" s="101"/>
      <c r="I1567" s="101"/>
      <c r="J1567" s="101"/>
      <c r="S1567" s="101"/>
      <c r="T1567" s="241"/>
      <c r="U1567" s="241"/>
      <c r="V1567" s="241"/>
      <c r="W1567" s="241"/>
      <c r="X1567" s="241"/>
      <c r="Y1567" s="241"/>
      <c r="Z1567" s="252"/>
    </row>
    <row r="1568" spans="3:26" ht="16.5">
      <c r="C1568" s="101"/>
      <c r="D1568" s="101"/>
      <c r="E1568" s="101"/>
      <c r="F1568" s="101"/>
      <c r="G1568" s="101"/>
      <c r="H1568" s="101"/>
      <c r="I1568" s="101"/>
      <c r="J1568" s="101"/>
      <c r="S1568" s="101"/>
      <c r="T1568" s="241"/>
      <c r="U1568" s="241"/>
      <c r="V1568" s="241"/>
      <c r="W1568" s="241"/>
      <c r="X1568" s="241"/>
      <c r="Y1568" s="241"/>
      <c r="Z1568" s="252"/>
    </row>
    <row r="1569" spans="3:26" ht="16.5">
      <c r="C1569" s="101"/>
      <c r="D1569" s="101"/>
      <c r="E1569" s="101"/>
      <c r="F1569" s="101"/>
      <c r="G1569" s="101"/>
      <c r="H1569" s="101"/>
      <c r="I1569" s="101"/>
      <c r="J1569" s="101"/>
      <c r="S1569" s="101"/>
      <c r="T1569" s="241"/>
      <c r="U1569" s="241"/>
      <c r="V1569" s="241"/>
      <c r="W1569" s="241"/>
      <c r="X1569" s="241"/>
      <c r="Y1569" s="241"/>
      <c r="Z1569" s="252"/>
    </row>
    <row r="1570" spans="3:26" ht="16.5">
      <c r="C1570" s="101"/>
      <c r="D1570" s="101"/>
      <c r="E1570" s="101"/>
      <c r="F1570" s="101"/>
      <c r="G1570" s="101"/>
      <c r="H1570" s="101"/>
      <c r="I1570" s="101"/>
      <c r="J1570" s="101"/>
      <c r="S1570" s="101"/>
      <c r="T1570" s="241"/>
      <c r="U1570" s="241"/>
      <c r="V1570" s="241"/>
      <c r="W1570" s="241"/>
      <c r="X1570" s="241"/>
      <c r="Y1570" s="241"/>
      <c r="Z1570" s="252"/>
    </row>
    <row r="1571" spans="3:26" ht="16.5">
      <c r="C1571" s="101"/>
      <c r="D1571" s="101"/>
      <c r="E1571" s="101"/>
      <c r="F1571" s="101"/>
      <c r="G1571" s="101"/>
      <c r="H1571" s="101"/>
      <c r="I1571" s="101"/>
      <c r="J1571" s="101"/>
      <c r="S1571" s="101"/>
      <c r="T1571" s="241"/>
      <c r="U1571" s="241"/>
      <c r="V1571" s="241"/>
      <c r="W1571" s="241"/>
      <c r="X1571" s="241"/>
      <c r="Y1571" s="241"/>
      <c r="Z1571" s="252"/>
    </row>
    <row r="1572" spans="3:26" ht="16.5">
      <c r="C1572" s="101"/>
      <c r="D1572" s="101"/>
      <c r="E1572" s="101"/>
      <c r="F1572" s="101"/>
      <c r="G1572" s="101"/>
      <c r="H1572" s="101"/>
      <c r="I1572" s="101"/>
      <c r="J1572" s="101"/>
      <c r="S1572" s="101"/>
      <c r="T1572" s="241"/>
      <c r="U1572" s="241"/>
      <c r="V1572" s="241"/>
      <c r="W1572" s="241"/>
      <c r="X1572" s="241"/>
      <c r="Y1572" s="241"/>
      <c r="Z1572" s="252"/>
    </row>
    <row r="1573" spans="3:26" ht="16.5">
      <c r="C1573" s="101"/>
      <c r="D1573" s="101"/>
      <c r="E1573" s="101"/>
      <c r="F1573" s="101"/>
      <c r="G1573" s="101"/>
      <c r="H1573" s="101"/>
      <c r="I1573" s="101"/>
      <c r="J1573" s="101"/>
      <c r="S1573" s="101"/>
      <c r="T1573" s="241"/>
      <c r="U1573" s="241"/>
      <c r="V1573" s="241"/>
      <c r="W1573" s="241"/>
      <c r="X1573" s="241"/>
      <c r="Y1573" s="241"/>
      <c r="Z1573" s="252"/>
    </row>
    <row r="1574" spans="3:26" ht="16.5">
      <c r="C1574" s="101"/>
      <c r="D1574" s="101"/>
      <c r="E1574" s="101"/>
      <c r="F1574" s="101"/>
      <c r="G1574" s="101"/>
      <c r="H1574" s="101"/>
      <c r="I1574" s="101"/>
      <c r="J1574" s="101"/>
      <c r="S1574" s="101"/>
      <c r="T1574" s="241"/>
      <c r="U1574" s="241"/>
      <c r="V1574" s="241"/>
      <c r="W1574" s="241"/>
      <c r="X1574" s="241"/>
      <c r="Y1574" s="241"/>
      <c r="Z1574" s="252"/>
    </row>
    <row r="1575" spans="3:26" ht="16.5">
      <c r="C1575" s="101"/>
      <c r="D1575" s="101"/>
      <c r="E1575" s="101"/>
      <c r="F1575" s="101"/>
      <c r="G1575" s="101"/>
      <c r="H1575" s="101"/>
      <c r="I1575" s="101"/>
      <c r="J1575" s="101"/>
      <c r="S1575" s="101"/>
      <c r="T1575" s="241"/>
      <c r="U1575" s="241"/>
      <c r="V1575" s="241"/>
      <c r="W1575" s="241"/>
      <c r="X1575" s="241"/>
      <c r="Y1575" s="241"/>
      <c r="Z1575" s="252"/>
    </row>
    <row r="1576" spans="3:26" ht="16.5">
      <c r="C1576" s="101"/>
      <c r="D1576" s="101"/>
      <c r="E1576" s="101"/>
      <c r="F1576" s="101"/>
      <c r="G1576" s="101"/>
      <c r="H1576" s="101"/>
      <c r="I1576" s="101"/>
      <c r="J1576" s="101"/>
      <c r="S1576" s="101"/>
      <c r="T1576" s="241"/>
      <c r="U1576" s="241"/>
      <c r="V1576" s="241"/>
      <c r="W1576" s="241"/>
      <c r="X1576" s="241"/>
      <c r="Y1576" s="241"/>
      <c r="Z1576" s="252"/>
    </row>
    <row r="1577" spans="3:26" ht="16.5">
      <c r="C1577" s="101"/>
      <c r="D1577" s="101"/>
      <c r="E1577" s="101"/>
      <c r="F1577" s="101"/>
      <c r="G1577" s="101"/>
      <c r="H1577" s="101"/>
      <c r="I1577" s="101"/>
      <c r="J1577" s="101"/>
      <c r="S1577" s="101"/>
      <c r="T1577" s="241"/>
      <c r="U1577" s="241"/>
      <c r="V1577" s="241"/>
      <c r="W1577" s="241"/>
      <c r="X1577" s="241"/>
      <c r="Y1577" s="241"/>
      <c r="Z1577" s="252"/>
    </row>
    <row r="1578" spans="3:26" ht="16.5">
      <c r="C1578" s="101"/>
      <c r="D1578" s="101"/>
      <c r="E1578" s="101"/>
      <c r="F1578" s="101"/>
      <c r="G1578" s="101"/>
      <c r="H1578" s="101"/>
      <c r="I1578" s="101"/>
      <c r="J1578" s="101"/>
      <c r="S1578" s="101"/>
      <c r="T1578" s="241"/>
      <c r="U1578" s="241"/>
      <c r="V1578" s="241"/>
      <c r="W1578" s="241"/>
      <c r="X1578" s="241"/>
      <c r="Y1578" s="241"/>
      <c r="Z1578" s="252"/>
    </row>
    <row r="1579" spans="3:26" ht="16.5">
      <c r="C1579" s="101"/>
      <c r="D1579" s="101"/>
      <c r="E1579" s="101"/>
      <c r="F1579" s="101"/>
      <c r="G1579" s="101"/>
      <c r="H1579" s="101"/>
      <c r="I1579" s="101"/>
      <c r="J1579" s="101"/>
      <c r="S1579" s="101"/>
      <c r="T1579" s="241"/>
      <c r="U1579" s="241"/>
      <c r="V1579" s="241"/>
      <c r="W1579" s="241"/>
      <c r="X1579" s="241"/>
      <c r="Y1579" s="241"/>
      <c r="Z1579" s="252"/>
    </row>
    <row r="1580" spans="3:26" ht="16.5">
      <c r="C1580" s="101"/>
      <c r="D1580" s="101"/>
      <c r="E1580" s="101"/>
      <c r="F1580" s="101"/>
      <c r="G1580" s="101"/>
      <c r="H1580" s="101"/>
      <c r="I1580" s="101"/>
      <c r="J1580" s="101"/>
      <c r="S1580" s="101"/>
      <c r="T1580" s="241"/>
      <c r="U1580" s="241"/>
      <c r="V1580" s="241"/>
      <c r="W1580" s="241"/>
      <c r="X1580" s="241"/>
      <c r="Y1580" s="241"/>
      <c r="Z1580" s="252"/>
    </row>
    <row r="1581" spans="3:26" ht="16.5">
      <c r="C1581" s="101"/>
      <c r="D1581" s="101"/>
      <c r="E1581" s="101"/>
      <c r="F1581" s="101"/>
      <c r="G1581" s="101"/>
      <c r="H1581" s="101"/>
      <c r="I1581" s="101"/>
      <c r="J1581" s="101"/>
      <c r="S1581" s="101"/>
      <c r="T1581" s="241"/>
      <c r="U1581" s="241"/>
      <c r="V1581" s="241"/>
      <c r="W1581" s="241"/>
      <c r="X1581" s="241"/>
      <c r="Y1581" s="241"/>
      <c r="Z1581" s="252"/>
    </row>
    <row r="1582" spans="3:26" ht="16.5">
      <c r="C1582" s="101"/>
      <c r="D1582" s="101"/>
      <c r="E1582" s="101"/>
      <c r="F1582" s="101"/>
      <c r="G1582" s="101"/>
      <c r="H1582" s="101"/>
      <c r="I1582" s="101"/>
      <c r="J1582" s="101"/>
      <c r="S1582" s="101"/>
      <c r="T1582" s="241"/>
      <c r="U1582" s="241"/>
      <c r="V1582" s="241"/>
      <c r="W1582" s="241"/>
      <c r="X1582" s="241"/>
      <c r="Y1582" s="241"/>
      <c r="Z1582" s="252"/>
    </row>
    <row r="1583" spans="3:26" ht="16.5">
      <c r="C1583" s="101"/>
      <c r="D1583" s="101"/>
      <c r="E1583" s="101"/>
      <c r="F1583" s="101"/>
      <c r="G1583" s="101"/>
      <c r="H1583" s="101"/>
      <c r="I1583" s="101"/>
      <c r="J1583" s="101"/>
      <c r="S1583" s="101"/>
      <c r="T1583" s="241"/>
      <c r="U1583" s="241"/>
      <c r="V1583" s="241"/>
      <c r="W1583" s="241"/>
      <c r="X1583" s="241"/>
      <c r="Y1583" s="241"/>
      <c r="Z1583" s="252"/>
    </row>
    <row r="1584" spans="3:26" ht="16.5">
      <c r="C1584" s="101"/>
      <c r="D1584" s="101"/>
      <c r="E1584" s="101"/>
      <c r="F1584" s="101"/>
      <c r="G1584" s="101"/>
      <c r="H1584" s="101"/>
      <c r="I1584" s="101"/>
      <c r="J1584" s="101"/>
      <c r="S1584" s="101"/>
      <c r="T1584" s="241"/>
      <c r="U1584" s="241"/>
      <c r="V1584" s="241"/>
      <c r="W1584" s="241"/>
      <c r="X1584" s="241"/>
      <c r="Y1584" s="241"/>
      <c r="Z1584" s="252"/>
    </row>
    <row r="1585" spans="3:26" ht="16.5">
      <c r="C1585" s="101"/>
      <c r="D1585" s="101"/>
      <c r="E1585" s="101"/>
      <c r="F1585" s="101"/>
      <c r="G1585" s="101"/>
      <c r="H1585" s="101"/>
      <c r="I1585" s="101"/>
      <c r="J1585" s="101"/>
      <c r="S1585" s="101"/>
      <c r="T1585" s="241"/>
      <c r="U1585" s="241"/>
      <c r="V1585" s="241"/>
      <c r="W1585" s="241"/>
      <c r="X1585" s="241"/>
      <c r="Y1585" s="241"/>
      <c r="Z1585" s="252"/>
    </row>
    <row r="1586" spans="3:26" ht="16.5">
      <c r="C1586" s="101"/>
      <c r="D1586" s="101"/>
      <c r="E1586" s="101"/>
      <c r="F1586" s="101"/>
      <c r="G1586" s="101"/>
      <c r="H1586" s="101"/>
      <c r="I1586" s="101"/>
      <c r="J1586" s="101"/>
      <c r="S1586" s="101"/>
      <c r="T1586" s="241"/>
      <c r="U1586" s="241"/>
      <c r="V1586" s="241"/>
      <c r="W1586" s="241"/>
      <c r="X1586" s="241"/>
      <c r="Y1586" s="241"/>
      <c r="Z1586" s="252"/>
    </row>
    <row r="1587" spans="3:26" ht="16.5">
      <c r="C1587" s="101"/>
      <c r="D1587" s="101"/>
      <c r="E1587" s="101"/>
      <c r="F1587" s="101"/>
      <c r="G1587" s="101"/>
      <c r="H1587" s="101"/>
      <c r="I1587" s="101"/>
      <c r="J1587" s="101"/>
      <c r="S1587" s="101"/>
      <c r="T1587" s="241"/>
      <c r="U1587" s="241"/>
      <c r="V1587" s="241"/>
      <c r="W1587" s="241"/>
      <c r="X1587" s="241"/>
      <c r="Y1587" s="241"/>
      <c r="Z1587" s="252"/>
    </row>
    <row r="1588" spans="3:26" ht="16.5">
      <c r="C1588" s="101"/>
      <c r="D1588" s="101"/>
      <c r="E1588" s="101"/>
      <c r="F1588" s="101"/>
      <c r="G1588" s="101"/>
      <c r="H1588" s="101"/>
      <c r="I1588" s="101"/>
      <c r="J1588" s="101"/>
      <c r="S1588" s="101"/>
      <c r="T1588" s="241"/>
      <c r="U1588" s="241"/>
      <c r="V1588" s="241"/>
      <c r="W1588" s="241"/>
      <c r="X1588" s="241"/>
      <c r="Y1588" s="241"/>
      <c r="Z1588" s="252"/>
    </row>
    <row r="1589" spans="3:26" ht="16.5">
      <c r="C1589" s="101"/>
      <c r="D1589" s="101"/>
      <c r="E1589" s="101"/>
      <c r="F1589" s="101"/>
      <c r="G1589" s="101"/>
      <c r="H1589" s="101"/>
      <c r="I1589" s="101"/>
      <c r="J1589" s="101"/>
      <c r="S1589" s="101"/>
      <c r="T1589" s="241"/>
      <c r="U1589" s="241"/>
      <c r="V1589" s="241"/>
      <c r="W1589" s="241"/>
      <c r="X1589" s="241"/>
      <c r="Y1589" s="241"/>
      <c r="Z1589" s="252"/>
    </row>
    <row r="1590" spans="3:26" ht="16.5">
      <c r="C1590" s="101"/>
      <c r="D1590" s="101"/>
      <c r="E1590" s="101"/>
      <c r="F1590" s="101"/>
      <c r="G1590" s="101"/>
      <c r="H1590" s="101"/>
      <c r="I1590" s="101"/>
      <c r="J1590" s="101"/>
      <c r="S1590" s="101"/>
      <c r="T1590" s="241"/>
      <c r="U1590" s="241"/>
      <c r="V1590" s="241"/>
      <c r="W1590" s="241"/>
      <c r="X1590" s="241"/>
      <c r="Y1590" s="241"/>
      <c r="Z1590" s="252"/>
    </row>
    <row r="1591" spans="3:26" ht="16.5">
      <c r="C1591" s="101"/>
      <c r="D1591" s="101"/>
      <c r="E1591" s="101"/>
      <c r="F1591" s="101"/>
      <c r="G1591" s="101"/>
      <c r="H1591" s="101"/>
      <c r="I1591" s="101"/>
      <c r="J1591" s="101"/>
      <c r="S1591" s="101"/>
      <c r="T1591" s="241"/>
      <c r="U1591" s="241"/>
      <c r="V1591" s="241"/>
      <c r="W1591" s="241"/>
      <c r="X1591" s="241"/>
      <c r="Y1591" s="241"/>
      <c r="Z1591" s="252"/>
    </row>
    <row r="1592" spans="3:26" ht="16.5">
      <c r="C1592" s="101"/>
      <c r="D1592" s="101"/>
      <c r="E1592" s="101"/>
      <c r="F1592" s="101"/>
      <c r="G1592" s="101"/>
      <c r="H1592" s="101"/>
      <c r="I1592" s="101"/>
      <c r="J1592" s="101"/>
      <c r="S1592" s="101"/>
      <c r="T1592" s="241"/>
      <c r="U1592" s="241"/>
      <c r="V1592" s="241"/>
      <c r="W1592" s="241"/>
      <c r="X1592" s="241"/>
      <c r="Y1592" s="241"/>
      <c r="Z1592" s="252"/>
    </row>
    <row r="1593" spans="3:26" ht="16.5">
      <c r="C1593" s="101"/>
      <c r="D1593" s="101"/>
      <c r="E1593" s="101"/>
      <c r="F1593" s="101"/>
      <c r="G1593" s="101"/>
      <c r="H1593" s="101"/>
      <c r="I1593" s="101"/>
      <c r="J1593" s="101"/>
      <c r="S1593" s="101"/>
      <c r="T1593" s="241"/>
      <c r="U1593" s="241"/>
      <c r="V1593" s="241"/>
      <c r="W1593" s="241"/>
      <c r="X1593" s="241"/>
      <c r="Y1593" s="241"/>
      <c r="Z1593" s="252"/>
    </row>
    <row r="1594" spans="3:26" ht="16.5">
      <c r="C1594" s="101"/>
      <c r="D1594" s="101"/>
      <c r="E1594" s="101"/>
      <c r="F1594" s="101"/>
      <c r="G1594" s="101"/>
      <c r="H1594" s="101"/>
      <c r="I1594" s="101"/>
      <c r="J1594" s="101"/>
      <c r="S1594" s="101"/>
      <c r="T1594" s="241"/>
      <c r="U1594" s="241"/>
      <c r="V1594" s="241"/>
      <c r="W1594" s="241"/>
      <c r="X1594" s="241"/>
      <c r="Y1594" s="241"/>
      <c r="Z1594" s="252"/>
    </row>
    <row r="1595" spans="3:26" ht="16.5">
      <c r="C1595" s="101"/>
      <c r="D1595" s="101"/>
      <c r="E1595" s="101"/>
      <c r="F1595" s="101"/>
      <c r="G1595" s="101"/>
      <c r="H1595" s="101"/>
      <c r="I1595" s="101"/>
      <c r="J1595" s="101"/>
      <c r="S1595" s="101"/>
      <c r="T1595" s="241"/>
      <c r="U1595" s="241"/>
      <c r="V1595" s="241"/>
      <c r="W1595" s="241"/>
      <c r="X1595" s="241"/>
      <c r="Y1595" s="241"/>
      <c r="Z1595" s="252"/>
    </row>
    <row r="1596" spans="3:26" ht="16.5">
      <c r="C1596" s="101"/>
      <c r="D1596" s="101"/>
      <c r="E1596" s="101"/>
      <c r="F1596" s="101"/>
      <c r="G1596" s="101"/>
      <c r="H1596" s="101"/>
      <c r="I1596" s="101"/>
      <c r="J1596" s="101"/>
      <c r="S1596" s="101"/>
      <c r="T1596" s="241"/>
      <c r="U1596" s="241"/>
      <c r="V1596" s="241"/>
      <c r="W1596" s="241"/>
      <c r="X1596" s="241"/>
      <c r="Y1596" s="241"/>
      <c r="Z1596" s="252"/>
    </row>
    <row r="1597" spans="3:26" ht="16.5">
      <c r="C1597" s="101"/>
      <c r="D1597" s="101"/>
      <c r="E1597" s="101"/>
      <c r="F1597" s="101"/>
      <c r="G1597" s="101"/>
      <c r="H1597" s="101"/>
      <c r="I1597" s="101"/>
      <c r="J1597" s="101"/>
      <c r="S1597" s="101"/>
      <c r="T1597" s="241"/>
      <c r="U1597" s="241"/>
      <c r="V1597" s="241"/>
      <c r="W1597" s="241"/>
      <c r="X1597" s="241"/>
      <c r="Y1597" s="241"/>
      <c r="Z1597" s="252"/>
    </row>
    <row r="1598" spans="3:26" ht="16.5">
      <c r="C1598" s="101"/>
      <c r="D1598" s="101"/>
      <c r="E1598" s="101"/>
      <c r="F1598" s="101"/>
      <c r="G1598" s="101"/>
      <c r="H1598" s="101"/>
      <c r="I1598" s="101"/>
      <c r="J1598" s="101"/>
      <c r="S1598" s="101"/>
      <c r="T1598" s="241"/>
      <c r="U1598" s="241"/>
      <c r="V1598" s="241"/>
      <c r="W1598" s="241"/>
      <c r="X1598" s="241"/>
      <c r="Y1598" s="241"/>
      <c r="Z1598" s="252"/>
    </row>
    <row r="1599" spans="3:26" ht="16.5">
      <c r="C1599" s="101"/>
      <c r="D1599" s="101"/>
      <c r="E1599" s="101"/>
      <c r="F1599" s="101"/>
      <c r="G1599" s="101"/>
      <c r="H1599" s="101"/>
      <c r="I1599" s="101"/>
      <c r="J1599" s="101"/>
      <c r="S1599" s="101"/>
      <c r="T1599" s="241"/>
      <c r="U1599" s="241"/>
      <c r="V1599" s="241"/>
      <c r="W1599" s="241"/>
      <c r="X1599" s="241"/>
      <c r="Y1599" s="241"/>
      <c r="Z1599" s="252"/>
    </row>
    <row r="1600" spans="3:26" ht="16.5">
      <c r="C1600" s="101"/>
      <c r="D1600" s="101"/>
      <c r="E1600" s="101"/>
      <c r="F1600" s="101"/>
      <c r="G1600" s="101"/>
      <c r="H1600" s="101"/>
      <c r="I1600" s="101"/>
      <c r="J1600" s="101"/>
      <c r="S1600" s="101"/>
      <c r="T1600" s="241"/>
      <c r="U1600" s="241"/>
      <c r="V1600" s="241"/>
      <c r="W1600" s="241"/>
      <c r="X1600" s="241"/>
      <c r="Y1600" s="241"/>
      <c r="Z1600" s="252"/>
    </row>
    <row r="1601" spans="3:26" ht="16.5">
      <c r="C1601" s="101"/>
      <c r="D1601" s="101"/>
      <c r="E1601" s="101"/>
      <c r="F1601" s="101"/>
      <c r="G1601" s="101"/>
      <c r="H1601" s="101"/>
      <c r="I1601" s="101"/>
      <c r="J1601" s="101"/>
      <c r="S1601" s="101"/>
      <c r="T1601" s="241"/>
      <c r="U1601" s="241"/>
      <c r="V1601" s="241"/>
      <c r="W1601" s="241"/>
      <c r="X1601" s="241"/>
      <c r="Y1601" s="241"/>
      <c r="Z1601" s="252"/>
    </row>
    <row r="1602" spans="3:26" ht="16.5">
      <c r="C1602" s="101"/>
      <c r="D1602" s="101"/>
      <c r="E1602" s="101"/>
      <c r="F1602" s="101"/>
      <c r="G1602" s="101"/>
      <c r="H1602" s="101"/>
      <c r="I1602" s="101"/>
      <c r="J1602" s="101"/>
      <c r="S1602" s="101"/>
      <c r="T1602" s="241"/>
      <c r="U1602" s="241"/>
      <c r="V1602" s="241"/>
      <c r="W1602" s="241"/>
      <c r="X1602" s="241"/>
      <c r="Y1602" s="241"/>
      <c r="Z1602" s="252"/>
    </row>
    <row r="1603" spans="3:26" ht="16.5">
      <c r="C1603" s="101"/>
      <c r="D1603" s="101"/>
      <c r="E1603" s="101"/>
      <c r="F1603" s="101"/>
      <c r="G1603" s="101"/>
      <c r="H1603" s="101"/>
      <c r="I1603" s="101"/>
      <c r="J1603" s="101"/>
      <c r="S1603" s="101"/>
      <c r="T1603" s="241"/>
      <c r="U1603" s="241"/>
      <c r="V1603" s="241"/>
      <c r="W1603" s="241"/>
      <c r="X1603" s="241"/>
      <c r="Y1603" s="241"/>
      <c r="Z1603" s="252"/>
    </row>
    <row r="1604" spans="3:26" ht="16.5">
      <c r="C1604" s="101"/>
      <c r="D1604" s="101"/>
      <c r="E1604" s="101"/>
      <c r="F1604" s="101"/>
      <c r="G1604" s="101"/>
      <c r="H1604" s="101"/>
      <c r="I1604" s="101"/>
      <c r="J1604" s="101"/>
      <c r="S1604" s="101"/>
      <c r="T1604" s="241"/>
      <c r="U1604" s="241"/>
      <c r="V1604" s="241"/>
      <c r="W1604" s="241"/>
      <c r="X1604" s="241"/>
      <c r="Y1604" s="241"/>
      <c r="Z1604" s="252"/>
    </row>
    <row r="1605" spans="3:26" ht="16.5">
      <c r="C1605" s="101"/>
      <c r="D1605" s="101"/>
      <c r="E1605" s="101"/>
      <c r="F1605" s="101"/>
      <c r="G1605" s="101"/>
      <c r="H1605" s="101"/>
      <c r="I1605" s="101"/>
      <c r="J1605" s="101"/>
      <c r="S1605" s="101"/>
      <c r="T1605" s="241"/>
      <c r="U1605" s="241"/>
      <c r="V1605" s="241"/>
      <c r="W1605" s="241"/>
      <c r="X1605" s="241"/>
      <c r="Y1605" s="241"/>
      <c r="Z1605" s="252"/>
    </row>
    <row r="1606" spans="3:26" ht="16.5">
      <c r="C1606" s="101"/>
      <c r="D1606" s="101"/>
      <c r="E1606" s="101"/>
      <c r="F1606" s="101"/>
      <c r="G1606" s="101"/>
      <c r="H1606" s="101"/>
      <c r="I1606" s="101"/>
      <c r="J1606" s="101"/>
      <c r="S1606" s="101"/>
      <c r="T1606" s="241"/>
      <c r="U1606" s="241"/>
      <c r="V1606" s="241"/>
      <c r="W1606" s="241"/>
      <c r="X1606" s="241"/>
      <c r="Y1606" s="241"/>
      <c r="Z1606" s="252"/>
    </row>
    <row r="1607" spans="3:26" ht="16.5">
      <c r="C1607" s="101"/>
      <c r="D1607" s="101"/>
      <c r="E1607" s="101"/>
      <c r="F1607" s="101"/>
      <c r="G1607" s="101"/>
      <c r="H1607" s="101"/>
      <c r="I1607" s="101"/>
      <c r="J1607" s="101"/>
      <c r="S1607" s="101"/>
      <c r="T1607" s="241"/>
      <c r="U1607" s="241"/>
      <c r="V1607" s="241"/>
      <c r="W1607" s="241"/>
      <c r="X1607" s="241"/>
      <c r="Y1607" s="241"/>
      <c r="Z1607" s="252"/>
    </row>
    <row r="1608" spans="3:26" ht="16.5">
      <c r="C1608" s="101"/>
      <c r="D1608" s="101"/>
      <c r="E1608" s="101"/>
      <c r="F1608" s="101"/>
      <c r="G1608" s="101"/>
      <c r="H1608" s="101"/>
      <c r="I1608" s="101"/>
      <c r="J1608" s="101"/>
      <c r="S1608" s="101"/>
      <c r="T1608" s="241"/>
      <c r="U1608" s="241"/>
      <c r="V1608" s="241"/>
      <c r="W1608" s="241"/>
      <c r="X1608" s="241"/>
      <c r="Y1608" s="241"/>
      <c r="Z1608" s="252"/>
    </row>
    <row r="1609" spans="3:26" ht="16.5">
      <c r="C1609" s="101"/>
      <c r="D1609" s="101"/>
      <c r="E1609" s="101"/>
      <c r="F1609" s="101"/>
      <c r="G1609" s="101"/>
      <c r="H1609" s="101"/>
      <c r="I1609" s="101"/>
      <c r="J1609" s="101"/>
      <c r="S1609" s="101"/>
      <c r="T1609" s="241"/>
      <c r="U1609" s="241"/>
      <c r="V1609" s="241"/>
      <c r="W1609" s="241"/>
      <c r="X1609" s="241"/>
      <c r="Y1609" s="241"/>
      <c r="Z1609" s="252"/>
    </row>
    <row r="1610" spans="3:26" ht="16.5">
      <c r="C1610" s="101"/>
      <c r="D1610" s="101"/>
      <c r="E1610" s="101"/>
      <c r="F1610" s="101"/>
      <c r="G1610" s="101"/>
      <c r="H1610" s="101"/>
      <c r="I1610" s="101"/>
      <c r="J1610" s="101"/>
      <c r="S1610" s="101"/>
      <c r="T1610" s="241"/>
      <c r="U1610" s="241"/>
      <c r="V1610" s="241"/>
      <c r="W1610" s="241"/>
      <c r="X1610" s="241"/>
      <c r="Y1610" s="241"/>
      <c r="Z1610" s="252"/>
    </row>
    <row r="1611" spans="3:26" ht="16.5">
      <c r="C1611" s="101"/>
      <c r="D1611" s="101"/>
      <c r="E1611" s="101"/>
      <c r="F1611" s="101"/>
      <c r="G1611" s="101"/>
      <c r="H1611" s="101"/>
      <c r="I1611" s="101"/>
      <c r="J1611" s="101"/>
      <c r="S1611" s="101"/>
      <c r="T1611" s="241"/>
      <c r="U1611" s="241"/>
      <c r="V1611" s="241"/>
      <c r="W1611" s="241"/>
      <c r="X1611" s="241"/>
      <c r="Y1611" s="241"/>
      <c r="Z1611" s="252"/>
    </row>
    <row r="1612" spans="3:26" ht="16.5">
      <c r="C1612" s="101"/>
      <c r="D1612" s="101"/>
      <c r="E1612" s="101"/>
      <c r="F1612" s="101"/>
      <c r="G1612" s="101"/>
      <c r="H1612" s="101"/>
      <c r="I1612" s="101"/>
      <c r="J1612" s="101"/>
      <c r="S1612" s="101"/>
      <c r="T1612" s="241"/>
      <c r="U1612" s="241"/>
      <c r="V1612" s="241"/>
      <c r="W1612" s="241"/>
      <c r="X1612" s="241"/>
      <c r="Y1612" s="241"/>
      <c r="Z1612" s="252"/>
    </row>
    <row r="1613" spans="3:26" ht="16.5">
      <c r="C1613" s="101"/>
      <c r="D1613" s="101"/>
      <c r="E1613" s="101"/>
      <c r="F1613" s="101"/>
      <c r="G1613" s="101"/>
      <c r="H1613" s="101"/>
      <c r="I1613" s="101"/>
      <c r="J1613" s="101"/>
      <c r="S1613" s="101"/>
      <c r="T1613" s="241"/>
      <c r="U1613" s="241"/>
      <c r="V1613" s="241"/>
      <c r="W1613" s="241"/>
      <c r="X1613" s="241"/>
      <c r="Y1613" s="241"/>
      <c r="Z1613" s="252"/>
    </row>
    <row r="1614" spans="3:26" ht="16.5">
      <c r="C1614" s="101"/>
      <c r="D1614" s="101"/>
      <c r="E1614" s="101"/>
      <c r="F1614" s="101"/>
      <c r="G1614" s="101"/>
      <c r="H1614" s="101"/>
      <c r="I1614" s="101"/>
      <c r="J1614" s="101"/>
      <c r="S1614" s="101"/>
      <c r="T1614" s="241"/>
      <c r="U1614" s="241"/>
      <c r="V1614" s="241"/>
      <c r="W1614" s="241"/>
      <c r="X1614" s="241"/>
      <c r="Y1614" s="241"/>
      <c r="Z1614" s="252"/>
    </row>
    <row r="1615" spans="3:26" ht="16.5">
      <c r="C1615" s="101"/>
      <c r="D1615" s="101"/>
      <c r="E1615" s="101"/>
      <c r="F1615" s="101"/>
      <c r="G1615" s="101"/>
      <c r="H1615" s="101"/>
      <c r="I1615" s="101"/>
      <c r="J1615" s="101"/>
      <c r="S1615" s="101"/>
      <c r="T1615" s="241"/>
      <c r="U1615" s="241"/>
      <c r="V1615" s="241"/>
      <c r="W1615" s="241"/>
      <c r="X1615" s="241"/>
      <c r="Y1615" s="241"/>
      <c r="Z1615" s="252"/>
    </row>
    <row r="1616" spans="3:26" ht="16.5">
      <c r="C1616" s="101"/>
      <c r="D1616" s="101"/>
      <c r="E1616" s="101"/>
      <c r="F1616" s="101"/>
      <c r="G1616" s="101"/>
      <c r="H1616" s="101"/>
      <c r="I1616" s="101"/>
      <c r="J1616" s="101"/>
      <c r="S1616" s="101"/>
      <c r="T1616" s="241"/>
      <c r="U1616" s="241"/>
      <c r="V1616" s="241"/>
      <c r="W1616" s="241"/>
      <c r="X1616" s="241"/>
      <c r="Y1616" s="241"/>
      <c r="Z1616" s="252"/>
    </row>
    <row r="1617" spans="3:26" ht="16.5">
      <c r="C1617" s="101"/>
      <c r="D1617" s="101"/>
      <c r="E1617" s="101"/>
      <c r="F1617" s="101"/>
      <c r="G1617" s="101"/>
      <c r="H1617" s="101"/>
      <c r="I1617" s="101"/>
      <c r="J1617" s="101"/>
      <c r="S1617" s="101"/>
      <c r="T1617" s="241"/>
      <c r="U1617" s="241"/>
      <c r="V1617" s="241"/>
      <c r="W1617" s="241"/>
      <c r="X1617" s="241"/>
      <c r="Y1617" s="241"/>
      <c r="Z1617" s="252"/>
    </row>
    <row r="1618" spans="3:26" ht="16.5">
      <c r="C1618" s="101"/>
      <c r="D1618" s="101"/>
      <c r="E1618" s="101"/>
      <c r="F1618" s="101"/>
      <c r="G1618" s="101"/>
      <c r="H1618" s="101"/>
      <c r="I1618" s="101"/>
      <c r="J1618" s="101"/>
      <c r="S1618" s="101"/>
      <c r="T1618" s="241"/>
      <c r="U1618" s="241"/>
      <c r="V1618" s="241"/>
      <c r="W1618" s="241"/>
      <c r="X1618" s="241"/>
      <c r="Y1618" s="241"/>
      <c r="Z1618" s="252"/>
    </row>
    <row r="1619" spans="3:26" ht="16.5">
      <c r="C1619" s="101"/>
      <c r="D1619" s="101"/>
      <c r="E1619" s="101"/>
      <c r="F1619" s="101"/>
      <c r="G1619" s="101"/>
      <c r="H1619" s="101"/>
      <c r="I1619" s="101"/>
      <c r="J1619" s="101"/>
      <c r="S1619" s="101"/>
      <c r="T1619" s="241"/>
      <c r="U1619" s="241"/>
      <c r="V1619" s="241"/>
      <c r="W1619" s="241"/>
      <c r="X1619" s="241"/>
      <c r="Y1619" s="241"/>
      <c r="Z1619" s="252"/>
    </row>
    <row r="1620" spans="3:26" ht="16.5">
      <c r="C1620" s="101"/>
      <c r="D1620" s="101"/>
      <c r="E1620" s="101"/>
      <c r="F1620" s="101"/>
      <c r="G1620" s="101"/>
      <c r="H1620" s="101"/>
      <c r="I1620" s="101"/>
      <c r="J1620" s="101"/>
      <c r="S1620" s="101"/>
      <c r="T1620" s="241"/>
      <c r="U1620" s="241"/>
      <c r="V1620" s="241"/>
      <c r="W1620" s="241"/>
      <c r="X1620" s="241"/>
      <c r="Y1620" s="241"/>
      <c r="Z1620" s="252"/>
    </row>
    <row r="1621" spans="3:26" ht="16.5">
      <c r="C1621" s="101"/>
      <c r="D1621" s="101"/>
      <c r="E1621" s="101"/>
      <c r="F1621" s="101"/>
      <c r="G1621" s="101"/>
      <c r="H1621" s="101"/>
      <c r="I1621" s="101"/>
      <c r="J1621" s="101"/>
      <c r="S1621" s="101"/>
      <c r="T1621" s="241"/>
      <c r="U1621" s="241"/>
      <c r="V1621" s="241"/>
      <c r="W1621" s="241"/>
      <c r="X1621" s="241"/>
      <c r="Y1621" s="241"/>
      <c r="Z1621" s="252"/>
    </row>
    <row r="1622" spans="3:26" ht="16.5">
      <c r="C1622" s="101"/>
      <c r="D1622" s="101"/>
      <c r="E1622" s="101"/>
      <c r="F1622" s="101"/>
      <c r="G1622" s="101"/>
      <c r="H1622" s="101"/>
      <c r="I1622" s="101"/>
      <c r="J1622" s="101"/>
      <c r="S1622" s="101"/>
      <c r="T1622" s="241"/>
      <c r="U1622" s="241"/>
      <c r="V1622" s="241"/>
      <c r="W1622" s="241"/>
      <c r="X1622" s="241"/>
      <c r="Y1622" s="241"/>
      <c r="Z1622" s="252"/>
    </row>
    <row r="1623" spans="3:26" ht="16.5">
      <c r="C1623" s="101"/>
      <c r="D1623" s="101"/>
      <c r="E1623" s="101"/>
      <c r="F1623" s="101"/>
      <c r="G1623" s="101"/>
      <c r="H1623" s="101"/>
      <c r="I1623" s="101"/>
      <c r="J1623" s="101"/>
      <c r="S1623" s="101"/>
      <c r="T1623" s="241"/>
      <c r="U1623" s="241"/>
      <c r="V1623" s="241"/>
      <c r="W1623" s="241"/>
      <c r="X1623" s="241"/>
      <c r="Y1623" s="241"/>
      <c r="Z1623" s="252"/>
    </row>
    <row r="1624" spans="3:26" ht="16.5">
      <c r="C1624" s="101"/>
      <c r="D1624" s="101"/>
      <c r="E1624" s="101"/>
      <c r="F1624" s="101"/>
      <c r="G1624" s="101"/>
      <c r="H1624" s="101"/>
      <c r="I1624" s="101"/>
      <c r="J1624" s="101"/>
      <c r="S1624" s="101"/>
      <c r="T1624" s="241"/>
      <c r="U1624" s="241"/>
      <c r="V1624" s="241"/>
      <c r="W1624" s="241"/>
      <c r="X1624" s="241"/>
      <c r="Y1624" s="241"/>
      <c r="Z1624" s="252"/>
    </row>
    <row r="1625" spans="3:26" ht="16.5">
      <c r="C1625" s="101"/>
      <c r="D1625" s="101"/>
      <c r="E1625" s="101"/>
      <c r="F1625" s="101"/>
      <c r="G1625" s="101"/>
      <c r="H1625" s="101"/>
      <c r="I1625" s="101"/>
      <c r="J1625" s="101"/>
      <c r="S1625" s="101"/>
      <c r="T1625" s="241"/>
      <c r="U1625" s="241"/>
      <c r="V1625" s="241"/>
      <c r="W1625" s="241"/>
      <c r="X1625" s="241"/>
      <c r="Y1625" s="241"/>
      <c r="Z1625" s="252"/>
    </row>
    <row r="1626" spans="3:26" ht="16.5">
      <c r="C1626" s="101"/>
      <c r="D1626" s="101"/>
      <c r="E1626" s="101"/>
      <c r="F1626" s="101"/>
      <c r="G1626" s="101"/>
      <c r="H1626" s="101"/>
      <c r="I1626" s="101"/>
      <c r="J1626" s="101"/>
      <c r="S1626" s="101"/>
      <c r="T1626" s="241"/>
      <c r="U1626" s="241"/>
      <c r="V1626" s="241"/>
      <c r="W1626" s="241"/>
      <c r="X1626" s="241"/>
      <c r="Y1626" s="241"/>
      <c r="Z1626" s="252"/>
    </row>
    <row r="1627" spans="3:26" ht="16.5">
      <c r="C1627" s="101"/>
      <c r="D1627" s="101"/>
      <c r="E1627" s="101"/>
      <c r="F1627" s="101"/>
      <c r="G1627" s="101"/>
      <c r="H1627" s="101"/>
      <c r="I1627" s="101"/>
      <c r="J1627" s="101"/>
      <c r="S1627" s="101"/>
      <c r="T1627" s="241"/>
      <c r="U1627" s="241"/>
      <c r="V1627" s="241"/>
      <c r="W1627" s="241"/>
      <c r="X1627" s="241"/>
      <c r="Y1627" s="241"/>
      <c r="Z1627" s="252"/>
    </row>
    <row r="1628" spans="3:26" ht="16.5">
      <c r="C1628" s="101"/>
      <c r="D1628" s="101"/>
      <c r="E1628" s="101"/>
      <c r="F1628" s="101"/>
      <c r="G1628" s="101"/>
      <c r="H1628" s="101"/>
      <c r="I1628" s="101"/>
      <c r="J1628" s="101"/>
      <c r="S1628" s="101"/>
      <c r="T1628" s="241"/>
      <c r="U1628" s="241"/>
      <c r="V1628" s="241"/>
      <c r="W1628" s="241"/>
      <c r="X1628" s="241"/>
      <c r="Y1628" s="241"/>
      <c r="Z1628" s="252"/>
    </row>
    <row r="1629" spans="3:26" ht="16.5">
      <c r="C1629" s="101"/>
      <c r="D1629" s="101"/>
      <c r="E1629" s="101"/>
      <c r="F1629" s="101"/>
      <c r="G1629" s="101"/>
      <c r="H1629" s="101"/>
      <c r="I1629" s="101"/>
      <c r="J1629" s="101"/>
      <c r="S1629" s="101"/>
      <c r="T1629" s="241"/>
      <c r="U1629" s="241"/>
      <c r="V1629" s="241"/>
      <c r="W1629" s="241"/>
      <c r="X1629" s="241"/>
      <c r="Y1629" s="241"/>
      <c r="Z1629" s="252"/>
    </row>
    <row r="1630" spans="3:26" ht="16.5">
      <c r="C1630" s="101"/>
      <c r="D1630" s="101"/>
      <c r="E1630" s="101"/>
      <c r="F1630" s="101"/>
      <c r="G1630" s="101"/>
      <c r="H1630" s="101"/>
      <c r="I1630" s="101"/>
      <c r="J1630" s="101"/>
      <c r="S1630" s="101"/>
      <c r="T1630" s="241"/>
      <c r="U1630" s="241"/>
      <c r="V1630" s="241"/>
      <c r="W1630" s="241"/>
      <c r="X1630" s="241"/>
      <c r="Y1630" s="241"/>
      <c r="Z1630" s="252"/>
    </row>
    <row r="1631" spans="3:26" ht="16.5">
      <c r="C1631" s="101"/>
      <c r="D1631" s="101"/>
      <c r="E1631" s="101"/>
      <c r="F1631" s="101"/>
      <c r="G1631" s="101"/>
      <c r="H1631" s="101"/>
      <c r="I1631" s="101"/>
      <c r="J1631" s="101"/>
      <c r="S1631" s="101"/>
      <c r="T1631" s="241"/>
      <c r="U1631" s="241"/>
      <c r="V1631" s="241"/>
      <c r="W1631" s="241"/>
      <c r="X1631" s="241"/>
      <c r="Y1631" s="241"/>
      <c r="Z1631" s="252"/>
    </row>
    <row r="1632" spans="3:26" ht="16.5">
      <c r="C1632" s="101"/>
      <c r="D1632" s="101"/>
      <c r="E1632" s="101"/>
      <c r="F1632" s="101"/>
      <c r="G1632" s="101"/>
      <c r="H1632" s="101"/>
      <c r="I1632" s="101"/>
      <c r="J1632" s="101"/>
      <c r="S1632" s="101"/>
      <c r="T1632" s="241"/>
      <c r="U1632" s="241"/>
      <c r="V1632" s="241"/>
      <c r="W1632" s="241"/>
      <c r="X1632" s="241"/>
      <c r="Y1632" s="241"/>
      <c r="Z1632" s="252"/>
    </row>
    <row r="1633" spans="3:26" ht="16.5">
      <c r="C1633" s="101"/>
      <c r="D1633" s="101"/>
      <c r="E1633" s="101"/>
      <c r="F1633" s="101"/>
      <c r="G1633" s="101"/>
      <c r="H1633" s="101"/>
      <c r="I1633" s="101"/>
      <c r="J1633" s="101"/>
      <c r="S1633" s="101"/>
      <c r="T1633" s="241"/>
      <c r="U1633" s="241"/>
      <c r="V1633" s="241"/>
      <c r="W1633" s="241"/>
      <c r="X1633" s="241"/>
      <c r="Y1633" s="241"/>
      <c r="Z1633" s="252"/>
    </row>
    <row r="1634" spans="3:26" ht="16.5">
      <c r="C1634" s="101"/>
      <c r="D1634" s="101"/>
      <c r="E1634" s="101"/>
      <c r="F1634" s="101"/>
      <c r="G1634" s="101"/>
      <c r="H1634" s="101"/>
      <c r="I1634" s="101"/>
      <c r="J1634" s="101"/>
      <c r="S1634" s="101"/>
      <c r="T1634" s="241"/>
      <c r="U1634" s="241"/>
      <c r="V1634" s="241"/>
      <c r="W1634" s="241"/>
      <c r="X1634" s="241"/>
      <c r="Y1634" s="241"/>
      <c r="Z1634" s="252"/>
    </row>
    <row r="1635" spans="3:26" ht="16.5">
      <c r="C1635" s="101"/>
      <c r="D1635" s="101"/>
      <c r="E1635" s="101"/>
      <c r="F1635" s="101"/>
      <c r="G1635" s="101"/>
      <c r="H1635" s="101"/>
      <c r="I1635" s="101"/>
      <c r="J1635" s="101"/>
      <c r="S1635" s="101"/>
      <c r="T1635" s="241"/>
      <c r="U1635" s="241"/>
      <c r="V1635" s="241"/>
      <c r="W1635" s="241"/>
      <c r="X1635" s="241"/>
      <c r="Y1635" s="241"/>
      <c r="Z1635" s="252"/>
    </row>
    <row r="1636" spans="3:26" ht="16.5">
      <c r="C1636" s="101"/>
      <c r="D1636" s="101"/>
      <c r="E1636" s="101"/>
      <c r="F1636" s="101"/>
      <c r="G1636" s="101"/>
      <c r="H1636" s="101"/>
      <c r="I1636" s="101"/>
      <c r="J1636" s="101"/>
      <c r="S1636" s="101"/>
      <c r="T1636" s="241"/>
      <c r="U1636" s="241"/>
      <c r="V1636" s="241"/>
      <c r="W1636" s="241"/>
      <c r="X1636" s="241"/>
      <c r="Y1636" s="241"/>
      <c r="Z1636" s="252"/>
    </row>
    <row r="1637" spans="3:26" ht="16.5">
      <c r="C1637" s="101"/>
      <c r="D1637" s="101"/>
      <c r="E1637" s="101"/>
      <c r="F1637" s="101"/>
      <c r="G1637" s="101"/>
      <c r="H1637" s="101"/>
      <c r="I1637" s="101"/>
      <c r="J1637" s="101"/>
      <c r="S1637" s="101"/>
      <c r="T1637" s="241"/>
      <c r="U1637" s="241"/>
      <c r="V1637" s="241"/>
      <c r="W1637" s="241"/>
      <c r="X1637" s="241"/>
      <c r="Y1637" s="241"/>
      <c r="Z1637" s="252"/>
    </row>
    <row r="1638" spans="3:26" ht="16.5">
      <c r="C1638" s="101"/>
      <c r="D1638" s="101"/>
      <c r="E1638" s="101"/>
      <c r="F1638" s="101"/>
      <c r="G1638" s="101"/>
      <c r="H1638" s="101"/>
      <c r="I1638" s="101"/>
      <c r="J1638" s="101"/>
      <c r="S1638" s="101"/>
      <c r="T1638" s="241"/>
      <c r="U1638" s="241"/>
      <c r="V1638" s="241"/>
      <c r="W1638" s="241"/>
      <c r="X1638" s="241"/>
      <c r="Y1638" s="241"/>
      <c r="Z1638" s="252"/>
    </row>
    <row r="1639" spans="3:26" ht="16.5">
      <c r="C1639" s="101"/>
      <c r="D1639" s="101"/>
      <c r="E1639" s="101"/>
      <c r="F1639" s="101"/>
      <c r="G1639" s="101"/>
      <c r="H1639" s="101"/>
      <c r="I1639" s="101"/>
      <c r="J1639" s="101"/>
      <c r="S1639" s="101"/>
      <c r="T1639" s="241"/>
      <c r="U1639" s="241"/>
      <c r="V1639" s="241"/>
      <c r="W1639" s="241"/>
      <c r="X1639" s="241"/>
      <c r="Y1639" s="241"/>
      <c r="Z1639" s="252"/>
    </row>
    <row r="1640" spans="3:26" ht="16.5">
      <c r="C1640" s="101"/>
      <c r="D1640" s="101"/>
      <c r="E1640" s="101"/>
      <c r="F1640" s="101"/>
      <c r="G1640" s="101"/>
      <c r="H1640" s="101"/>
      <c r="I1640" s="101"/>
      <c r="J1640" s="101"/>
      <c r="S1640" s="101"/>
      <c r="T1640" s="241"/>
      <c r="U1640" s="241"/>
      <c r="V1640" s="241"/>
      <c r="W1640" s="241"/>
      <c r="X1640" s="241"/>
      <c r="Y1640" s="241"/>
      <c r="Z1640" s="252"/>
    </row>
    <row r="1641" spans="3:26" ht="16.5">
      <c r="C1641" s="101"/>
      <c r="D1641" s="101"/>
      <c r="E1641" s="101"/>
      <c r="F1641" s="101"/>
      <c r="G1641" s="101"/>
      <c r="H1641" s="101"/>
      <c r="I1641" s="101"/>
      <c r="J1641" s="101"/>
      <c r="S1641" s="101"/>
      <c r="T1641" s="241"/>
      <c r="U1641" s="241"/>
      <c r="V1641" s="241"/>
      <c r="W1641" s="241"/>
      <c r="X1641" s="241"/>
      <c r="Y1641" s="241"/>
      <c r="Z1641" s="252"/>
    </row>
    <row r="1642" spans="3:26" ht="16.5">
      <c r="C1642" s="101"/>
      <c r="D1642" s="101"/>
      <c r="E1642" s="101"/>
      <c r="F1642" s="101"/>
      <c r="G1642" s="101"/>
      <c r="H1642" s="101"/>
      <c r="I1642" s="101"/>
      <c r="J1642" s="101"/>
      <c r="S1642" s="101"/>
      <c r="T1642" s="241"/>
      <c r="U1642" s="241"/>
      <c r="V1642" s="241"/>
      <c r="W1642" s="241"/>
      <c r="X1642" s="241"/>
      <c r="Y1642" s="241"/>
      <c r="Z1642" s="252"/>
    </row>
    <row r="1643" spans="3:26" ht="16.5">
      <c r="C1643" s="101"/>
      <c r="D1643" s="101"/>
      <c r="E1643" s="101"/>
      <c r="F1643" s="101"/>
      <c r="G1643" s="101"/>
      <c r="H1643" s="101"/>
      <c r="I1643" s="101"/>
      <c r="J1643" s="101"/>
      <c r="S1643" s="101"/>
      <c r="T1643" s="241"/>
      <c r="U1643" s="241"/>
      <c r="V1643" s="241"/>
      <c r="W1643" s="241"/>
      <c r="X1643" s="241"/>
      <c r="Y1643" s="241"/>
      <c r="Z1643" s="252"/>
    </row>
    <row r="1644" spans="3:26" ht="16.5">
      <c r="C1644" s="101"/>
      <c r="D1644" s="101"/>
      <c r="E1644" s="101"/>
      <c r="F1644" s="101"/>
      <c r="G1644" s="101"/>
      <c r="H1644" s="101"/>
      <c r="I1644" s="101"/>
      <c r="J1644" s="101"/>
      <c r="S1644" s="101"/>
      <c r="T1644" s="241"/>
      <c r="U1644" s="241"/>
      <c r="V1644" s="241"/>
      <c r="W1644" s="241"/>
      <c r="X1644" s="241"/>
      <c r="Y1644" s="241"/>
      <c r="Z1644" s="252"/>
    </row>
    <row r="1645" spans="3:26" ht="16.5">
      <c r="C1645" s="101"/>
      <c r="D1645" s="101"/>
      <c r="E1645" s="101"/>
      <c r="F1645" s="101"/>
      <c r="G1645" s="101"/>
      <c r="H1645" s="101"/>
      <c r="I1645" s="101"/>
      <c r="J1645" s="101"/>
      <c r="S1645" s="101"/>
      <c r="T1645" s="241"/>
      <c r="U1645" s="241"/>
      <c r="V1645" s="241"/>
      <c r="W1645" s="241"/>
      <c r="X1645" s="241"/>
      <c r="Y1645" s="241"/>
      <c r="Z1645" s="252"/>
    </row>
    <row r="1646" spans="3:26" ht="16.5">
      <c r="C1646" s="101"/>
      <c r="D1646" s="101"/>
      <c r="E1646" s="101"/>
      <c r="F1646" s="101"/>
      <c r="G1646" s="101"/>
      <c r="H1646" s="101"/>
      <c r="I1646" s="101"/>
      <c r="J1646" s="101"/>
      <c r="S1646" s="101"/>
      <c r="T1646" s="241"/>
      <c r="U1646" s="241"/>
      <c r="V1646" s="241"/>
      <c r="W1646" s="241"/>
      <c r="X1646" s="241"/>
      <c r="Y1646" s="241"/>
      <c r="Z1646" s="252"/>
    </row>
    <row r="1647" spans="3:26" ht="16.5">
      <c r="C1647" s="101"/>
      <c r="D1647" s="101"/>
      <c r="E1647" s="101"/>
      <c r="F1647" s="101"/>
      <c r="G1647" s="101"/>
      <c r="H1647" s="101"/>
      <c r="I1647" s="101"/>
      <c r="J1647" s="101"/>
      <c r="S1647" s="101"/>
      <c r="T1647" s="241"/>
      <c r="U1647" s="241"/>
      <c r="V1647" s="241"/>
      <c r="W1647" s="241"/>
      <c r="X1647" s="241"/>
      <c r="Y1647" s="241"/>
      <c r="Z1647" s="252"/>
    </row>
    <row r="1648" spans="3:26" ht="16.5">
      <c r="C1648" s="101"/>
      <c r="D1648" s="101"/>
      <c r="E1648" s="101"/>
      <c r="F1648" s="101"/>
      <c r="G1648" s="101"/>
      <c r="H1648" s="101"/>
      <c r="I1648" s="101"/>
      <c r="J1648" s="101"/>
      <c r="S1648" s="101"/>
      <c r="T1648" s="241"/>
      <c r="U1648" s="241"/>
      <c r="V1648" s="241"/>
      <c r="W1648" s="241"/>
      <c r="X1648" s="241"/>
      <c r="Y1648" s="241"/>
      <c r="Z1648" s="252"/>
    </row>
    <row r="1649" spans="3:26" ht="16.5">
      <c r="C1649" s="101"/>
      <c r="D1649" s="101"/>
      <c r="E1649" s="101"/>
      <c r="F1649" s="101"/>
      <c r="G1649" s="101"/>
      <c r="H1649" s="101"/>
      <c r="I1649" s="101"/>
      <c r="J1649" s="101"/>
      <c r="S1649" s="101"/>
      <c r="T1649" s="241"/>
      <c r="U1649" s="241"/>
      <c r="V1649" s="241"/>
      <c r="W1649" s="241"/>
      <c r="X1649" s="241"/>
      <c r="Y1649" s="241"/>
      <c r="Z1649" s="252"/>
    </row>
    <row r="1650" spans="3:26" ht="16.5">
      <c r="C1650" s="101"/>
      <c r="D1650" s="101"/>
      <c r="E1650" s="101"/>
      <c r="F1650" s="101"/>
      <c r="G1650" s="101"/>
      <c r="H1650" s="101"/>
      <c r="I1650" s="101"/>
      <c r="J1650" s="101"/>
      <c r="S1650" s="101"/>
      <c r="T1650" s="241"/>
      <c r="U1650" s="241"/>
      <c r="V1650" s="241"/>
      <c r="W1650" s="241"/>
      <c r="X1650" s="241"/>
      <c r="Y1650" s="241"/>
      <c r="Z1650" s="252"/>
    </row>
    <row r="1651" spans="3:26" ht="16.5">
      <c r="C1651" s="101"/>
      <c r="D1651" s="101"/>
      <c r="E1651" s="101"/>
      <c r="F1651" s="101"/>
      <c r="G1651" s="101"/>
      <c r="H1651" s="101"/>
      <c r="I1651" s="101"/>
      <c r="J1651" s="101"/>
      <c r="S1651" s="101"/>
      <c r="T1651" s="241"/>
      <c r="U1651" s="241"/>
      <c r="V1651" s="241"/>
      <c r="W1651" s="241"/>
      <c r="X1651" s="241"/>
      <c r="Y1651" s="241"/>
      <c r="Z1651" s="252"/>
    </row>
    <row r="1652" spans="3:26" ht="16.5">
      <c r="C1652" s="101"/>
      <c r="D1652" s="101"/>
      <c r="E1652" s="101"/>
      <c r="F1652" s="101"/>
      <c r="G1652" s="101"/>
      <c r="H1652" s="101"/>
      <c r="I1652" s="101"/>
      <c r="J1652" s="101"/>
      <c r="S1652" s="101"/>
      <c r="T1652" s="241"/>
      <c r="U1652" s="241"/>
      <c r="V1652" s="241"/>
      <c r="W1652" s="241"/>
      <c r="X1652" s="241"/>
      <c r="Y1652" s="241"/>
      <c r="Z1652" s="252"/>
    </row>
    <row r="1653" spans="3:26" ht="16.5">
      <c r="C1653" s="101"/>
      <c r="D1653" s="101"/>
      <c r="E1653" s="101"/>
      <c r="F1653" s="101"/>
      <c r="G1653" s="101"/>
      <c r="H1653" s="101"/>
      <c r="I1653" s="101"/>
      <c r="J1653" s="101"/>
      <c r="S1653" s="101"/>
      <c r="T1653" s="241"/>
      <c r="U1653" s="241"/>
      <c r="V1653" s="241"/>
      <c r="W1653" s="241"/>
      <c r="X1653" s="241"/>
      <c r="Y1653" s="241"/>
      <c r="Z1653" s="252"/>
    </row>
    <row r="1654" spans="3:26" ht="16.5">
      <c r="C1654" s="101"/>
      <c r="D1654" s="101"/>
      <c r="E1654" s="101"/>
      <c r="F1654" s="101"/>
      <c r="G1654" s="101"/>
      <c r="H1654" s="101"/>
      <c r="I1654" s="101"/>
      <c r="J1654" s="101"/>
      <c r="S1654" s="101"/>
      <c r="T1654" s="241"/>
      <c r="U1654" s="241"/>
      <c r="V1654" s="241"/>
      <c r="W1654" s="241"/>
      <c r="X1654" s="241"/>
      <c r="Y1654" s="241"/>
      <c r="Z1654" s="252"/>
    </row>
    <row r="1655" spans="3:26" ht="16.5">
      <c r="C1655" s="101"/>
      <c r="D1655" s="101"/>
      <c r="E1655" s="101"/>
      <c r="F1655" s="101"/>
      <c r="G1655" s="101"/>
      <c r="H1655" s="101"/>
      <c r="I1655" s="101"/>
      <c r="J1655" s="101"/>
      <c r="S1655" s="101"/>
      <c r="T1655" s="241"/>
      <c r="U1655" s="241"/>
      <c r="V1655" s="241"/>
      <c r="W1655" s="241"/>
      <c r="X1655" s="241"/>
      <c r="Y1655" s="241"/>
      <c r="Z1655" s="252"/>
    </row>
    <row r="1656" spans="3:26" ht="16.5">
      <c r="C1656" s="101"/>
      <c r="D1656" s="101"/>
      <c r="E1656" s="101"/>
      <c r="F1656" s="101"/>
      <c r="G1656" s="101"/>
      <c r="H1656" s="101"/>
      <c r="I1656" s="101"/>
      <c r="J1656" s="101"/>
      <c r="S1656" s="101"/>
      <c r="T1656" s="241"/>
      <c r="U1656" s="241"/>
      <c r="V1656" s="241"/>
      <c r="W1656" s="241"/>
      <c r="X1656" s="241"/>
      <c r="Y1656" s="241"/>
      <c r="Z1656" s="252"/>
    </row>
    <row r="1657" spans="3:26" ht="16.5">
      <c r="C1657" s="101"/>
      <c r="D1657" s="101"/>
      <c r="E1657" s="101"/>
      <c r="F1657" s="101"/>
      <c r="G1657" s="101"/>
      <c r="H1657" s="101"/>
      <c r="I1657" s="101"/>
      <c r="J1657" s="101"/>
      <c r="S1657" s="101"/>
      <c r="T1657" s="241"/>
      <c r="U1657" s="241"/>
      <c r="V1657" s="241"/>
      <c r="W1657" s="241"/>
      <c r="X1657" s="241"/>
      <c r="Y1657" s="241"/>
      <c r="Z1657" s="252"/>
    </row>
    <row r="1658" spans="3:26" ht="16.5">
      <c r="C1658" s="101"/>
      <c r="D1658" s="101"/>
      <c r="E1658" s="101"/>
      <c r="F1658" s="101"/>
      <c r="G1658" s="101"/>
      <c r="H1658" s="101"/>
      <c r="I1658" s="101"/>
      <c r="J1658" s="101"/>
      <c r="S1658" s="101"/>
      <c r="T1658" s="241"/>
      <c r="U1658" s="241"/>
      <c r="V1658" s="241"/>
      <c r="W1658" s="241"/>
      <c r="X1658" s="241"/>
      <c r="Y1658" s="241"/>
      <c r="Z1658" s="252"/>
    </row>
    <row r="1659" spans="3:26" ht="16.5">
      <c r="C1659" s="101"/>
      <c r="D1659" s="101"/>
      <c r="E1659" s="101"/>
      <c r="F1659" s="101"/>
      <c r="G1659" s="101"/>
      <c r="H1659" s="101"/>
      <c r="I1659" s="101"/>
      <c r="J1659" s="101"/>
      <c r="S1659" s="101"/>
      <c r="T1659" s="241"/>
      <c r="U1659" s="241"/>
      <c r="V1659" s="241"/>
      <c r="W1659" s="241"/>
      <c r="X1659" s="241"/>
      <c r="Y1659" s="241"/>
      <c r="Z1659" s="252"/>
    </row>
    <row r="1660" spans="3:26" ht="16.5">
      <c r="C1660" s="101"/>
      <c r="D1660" s="101"/>
      <c r="E1660" s="101"/>
      <c r="F1660" s="101"/>
      <c r="G1660" s="101"/>
      <c r="H1660" s="101"/>
      <c r="I1660" s="101"/>
      <c r="J1660" s="101"/>
      <c r="S1660" s="101"/>
      <c r="T1660" s="241"/>
      <c r="U1660" s="241"/>
      <c r="V1660" s="241"/>
      <c r="W1660" s="241"/>
      <c r="X1660" s="241"/>
      <c r="Y1660" s="241"/>
      <c r="Z1660" s="252"/>
    </row>
    <row r="1661" spans="3:26" ht="16.5">
      <c r="C1661" s="101"/>
      <c r="D1661" s="101"/>
      <c r="E1661" s="101"/>
      <c r="F1661" s="101"/>
      <c r="G1661" s="101"/>
      <c r="H1661" s="101"/>
      <c r="I1661" s="101"/>
      <c r="J1661" s="101"/>
      <c r="S1661" s="101"/>
      <c r="T1661" s="241"/>
      <c r="U1661" s="241"/>
      <c r="V1661" s="241"/>
      <c r="W1661" s="241"/>
      <c r="X1661" s="241"/>
      <c r="Y1661" s="241"/>
      <c r="Z1661" s="252"/>
    </row>
    <row r="1662" spans="3:26" ht="16.5">
      <c r="C1662" s="101"/>
      <c r="D1662" s="101"/>
      <c r="E1662" s="101"/>
      <c r="F1662" s="101"/>
      <c r="G1662" s="101"/>
      <c r="H1662" s="101"/>
      <c r="I1662" s="101"/>
      <c r="J1662" s="101"/>
      <c r="S1662" s="101"/>
      <c r="T1662" s="241"/>
      <c r="U1662" s="241"/>
      <c r="V1662" s="241"/>
      <c r="W1662" s="241"/>
      <c r="X1662" s="241"/>
      <c r="Y1662" s="241"/>
      <c r="Z1662" s="252"/>
    </row>
    <row r="1663" spans="3:26" ht="16.5">
      <c r="C1663" s="101"/>
      <c r="D1663" s="101"/>
      <c r="E1663" s="101"/>
      <c r="F1663" s="101"/>
      <c r="G1663" s="101"/>
      <c r="H1663" s="101"/>
      <c r="I1663" s="101"/>
      <c r="J1663" s="101"/>
      <c r="S1663" s="101"/>
      <c r="T1663" s="241"/>
      <c r="U1663" s="241"/>
      <c r="V1663" s="241"/>
      <c r="W1663" s="241"/>
      <c r="X1663" s="241"/>
      <c r="Y1663" s="241"/>
      <c r="Z1663" s="252"/>
    </row>
    <row r="1664" spans="3:26" ht="16.5">
      <c r="C1664" s="101"/>
      <c r="D1664" s="101"/>
      <c r="E1664" s="101"/>
      <c r="F1664" s="101"/>
      <c r="G1664" s="101"/>
      <c r="H1664" s="101"/>
      <c r="I1664" s="101"/>
      <c r="J1664" s="101"/>
      <c r="S1664" s="101"/>
      <c r="T1664" s="241"/>
      <c r="U1664" s="241"/>
      <c r="V1664" s="241"/>
      <c r="W1664" s="241"/>
      <c r="X1664" s="241"/>
      <c r="Y1664" s="241"/>
      <c r="Z1664" s="252"/>
    </row>
    <row r="1665" spans="3:26" ht="16.5">
      <c r="C1665" s="101"/>
      <c r="D1665" s="101"/>
      <c r="E1665" s="101"/>
      <c r="F1665" s="101"/>
      <c r="G1665" s="101"/>
      <c r="H1665" s="101"/>
      <c r="I1665" s="101"/>
      <c r="J1665" s="101"/>
      <c r="S1665" s="101"/>
      <c r="T1665" s="241"/>
      <c r="U1665" s="241"/>
      <c r="V1665" s="241"/>
      <c r="W1665" s="241"/>
      <c r="X1665" s="241"/>
      <c r="Y1665" s="241"/>
      <c r="Z1665" s="252"/>
    </row>
    <row r="1666" spans="3:26" ht="16.5">
      <c r="C1666" s="101"/>
      <c r="D1666" s="101"/>
      <c r="E1666" s="101"/>
      <c r="F1666" s="101"/>
      <c r="G1666" s="101"/>
      <c r="H1666" s="101"/>
      <c r="I1666" s="101"/>
      <c r="J1666" s="101"/>
      <c r="S1666" s="101"/>
      <c r="T1666" s="241"/>
      <c r="U1666" s="241"/>
      <c r="V1666" s="241"/>
      <c r="W1666" s="241"/>
      <c r="X1666" s="241"/>
      <c r="Y1666" s="241"/>
      <c r="Z1666" s="252"/>
    </row>
    <row r="1667" spans="3:26" ht="16.5">
      <c r="C1667" s="101"/>
      <c r="D1667" s="101"/>
      <c r="E1667" s="101"/>
      <c r="F1667" s="101"/>
      <c r="G1667" s="101"/>
      <c r="H1667" s="101"/>
      <c r="I1667" s="101"/>
      <c r="J1667" s="101"/>
      <c r="S1667" s="101"/>
      <c r="T1667" s="241"/>
      <c r="U1667" s="241"/>
      <c r="V1667" s="241"/>
      <c r="W1667" s="241"/>
      <c r="X1667" s="241"/>
      <c r="Y1667" s="241"/>
      <c r="Z1667" s="252"/>
    </row>
  </sheetData>
  <sheetProtection/>
  <mergeCells count="3">
    <mergeCell ref="A2:AB2"/>
    <mergeCell ref="C4:L4"/>
    <mergeCell ref="B151:K151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B1667"/>
  <sheetViews>
    <sheetView tabSelected="1" zoomScale="86" zoomScaleNormal="86" zoomScalePageLayoutView="0" workbookViewId="0" topLeftCell="A1">
      <pane xSplit="18" ySplit="7" topLeftCell="U116" activePane="bottomRight" state="frozen"/>
      <selection pane="topLeft" activeCell="A1" sqref="A1"/>
      <selection pane="topRight" activeCell="S1" sqref="S1"/>
      <selection pane="bottomLeft" activeCell="A8" sqref="A8"/>
      <selection pane="bottomRight" activeCell="Z67" sqref="Z67"/>
    </sheetView>
  </sheetViews>
  <sheetFormatPr defaultColWidth="9.140625" defaultRowHeight="12.75"/>
  <cols>
    <col min="1" max="1" width="6.8515625" style="27" customWidth="1"/>
    <col min="2" max="2" width="52.00390625" style="8" customWidth="1"/>
    <col min="3" max="3" width="15.28125" style="8" hidden="1" customWidth="1"/>
    <col min="4" max="4" width="16.140625" style="8" hidden="1" customWidth="1"/>
    <col min="5" max="5" width="14.140625" style="8" hidden="1" customWidth="1"/>
    <col min="6" max="9" width="16.140625" style="8" hidden="1" customWidth="1"/>
    <col min="10" max="10" width="1.28515625" style="8" hidden="1" customWidth="1"/>
    <col min="11" max="11" width="15.140625" style="2" hidden="1" customWidth="1"/>
    <col min="12" max="12" width="14.7109375" style="2" hidden="1" customWidth="1"/>
    <col min="13" max="17" width="0" style="3" hidden="1" customWidth="1"/>
    <col min="18" max="18" width="11.421875" style="71" hidden="1" customWidth="1"/>
    <col min="19" max="19" width="16.57421875" style="8" customWidth="1"/>
    <col min="20" max="20" width="13.7109375" style="2" customWidth="1"/>
    <col min="21" max="21" width="12.421875" style="2" customWidth="1"/>
    <col min="22" max="22" width="13.57421875" style="2" customWidth="1"/>
    <col min="23" max="23" width="14.00390625" style="2" customWidth="1"/>
    <col min="24" max="24" width="13.28125" style="2" customWidth="1"/>
    <col min="25" max="25" width="14.140625" style="2" customWidth="1"/>
    <col min="26" max="26" width="15.00390625" style="2" customWidth="1"/>
    <col min="27" max="27" width="16.00390625" style="2" customWidth="1"/>
    <col min="28" max="28" width="15.57421875" style="2" customWidth="1"/>
    <col min="29" max="16384" width="9.140625" style="3" customWidth="1"/>
  </cols>
  <sheetData>
    <row r="2" spans="1:28" s="1" customFormat="1" ht="19.5">
      <c r="A2" s="288" t="s">
        <v>387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</row>
    <row r="4" spans="3:28" ht="16.5">
      <c r="C4" s="289">
        <v>2016</v>
      </c>
      <c r="D4" s="289"/>
      <c r="E4" s="289"/>
      <c r="F4" s="289"/>
      <c r="G4" s="289"/>
      <c r="H4" s="289"/>
      <c r="I4" s="289"/>
      <c r="J4" s="289"/>
      <c r="K4" s="289"/>
      <c r="L4" s="289"/>
      <c r="AB4" s="72" t="s">
        <v>3</v>
      </c>
    </row>
    <row r="5" spans="1:28" s="5" customFormat="1" ht="90" customHeight="1">
      <c r="A5" s="4" t="s">
        <v>224</v>
      </c>
      <c r="B5" s="4" t="s">
        <v>390</v>
      </c>
      <c r="C5" s="73" t="s">
        <v>225</v>
      </c>
      <c r="D5" s="73" t="s">
        <v>235</v>
      </c>
      <c r="E5" s="73" t="s">
        <v>236</v>
      </c>
      <c r="F5" s="73" t="s">
        <v>237</v>
      </c>
      <c r="G5" s="73" t="s">
        <v>238</v>
      </c>
      <c r="H5" s="73" t="s">
        <v>239</v>
      </c>
      <c r="I5" s="73" t="s">
        <v>240</v>
      </c>
      <c r="J5" s="73" t="s">
        <v>241</v>
      </c>
      <c r="K5" s="4" t="s">
        <v>226</v>
      </c>
      <c r="L5" s="56" t="s">
        <v>242</v>
      </c>
      <c r="R5" s="74"/>
      <c r="S5" s="85" t="s">
        <v>225</v>
      </c>
      <c r="T5" s="85" t="s">
        <v>235</v>
      </c>
      <c r="U5" s="85" t="s">
        <v>236</v>
      </c>
      <c r="V5" s="85" t="s">
        <v>237</v>
      </c>
      <c r="W5" s="85" t="s">
        <v>238</v>
      </c>
      <c r="X5" s="85" t="s">
        <v>393</v>
      </c>
      <c r="Y5" s="85" t="s">
        <v>240</v>
      </c>
      <c r="Z5" s="85" t="s">
        <v>241</v>
      </c>
      <c r="AA5" s="4" t="s">
        <v>226</v>
      </c>
      <c r="AB5" s="56" t="s">
        <v>242</v>
      </c>
    </row>
    <row r="6" spans="1:28" s="5" customFormat="1" ht="16.5">
      <c r="A6" s="4"/>
      <c r="B6" s="4"/>
      <c r="C6" s="73"/>
      <c r="D6" s="73"/>
      <c r="E6" s="73"/>
      <c r="F6" s="73"/>
      <c r="G6" s="73"/>
      <c r="H6" s="73"/>
      <c r="I6" s="73"/>
      <c r="J6" s="73"/>
      <c r="K6" s="4"/>
      <c r="L6" s="4"/>
      <c r="R6" s="74"/>
      <c r="S6" s="73"/>
      <c r="T6" s="73"/>
      <c r="U6" s="73"/>
      <c r="V6" s="73"/>
      <c r="W6" s="73"/>
      <c r="X6" s="73"/>
      <c r="Y6" s="73"/>
      <c r="Z6" s="73"/>
      <c r="AA6" s="4"/>
      <c r="AB6" s="4"/>
    </row>
    <row r="7" spans="1:28" s="25" customFormat="1" ht="24" customHeight="1">
      <c r="A7" s="228" t="s">
        <v>61</v>
      </c>
      <c r="B7" s="229" t="s">
        <v>62</v>
      </c>
      <c r="C7" s="85">
        <f aca="true" t="shared" si="0" ref="C7:K7">C8+C9+C10+C13+C17+C18+C19</f>
        <v>36799.5</v>
      </c>
      <c r="D7" s="85">
        <f t="shared" si="0"/>
        <v>1236.4</v>
      </c>
      <c r="E7" s="85">
        <f t="shared" si="0"/>
        <v>2077.3</v>
      </c>
      <c r="F7" s="85">
        <f t="shared" si="0"/>
        <v>2332.6</v>
      </c>
      <c r="G7" s="85">
        <f t="shared" si="0"/>
        <v>1704.4</v>
      </c>
      <c r="H7" s="85">
        <f t="shared" si="0"/>
        <v>2393.2</v>
      </c>
      <c r="I7" s="85">
        <f t="shared" si="0"/>
        <v>2010.3000000000002</v>
      </c>
      <c r="J7" s="85">
        <f t="shared" si="0"/>
        <v>2410.4</v>
      </c>
      <c r="K7" s="85">
        <f t="shared" si="0"/>
        <v>14153.2</v>
      </c>
      <c r="L7" s="85">
        <f>C7+K7-K15-K29</f>
        <v>50862</v>
      </c>
      <c r="M7" s="230"/>
      <c r="N7" s="230"/>
      <c r="O7" s="230"/>
      <c r="P7" s="230"/>
      <c r="Q7" s="230"/>
      <c r="R7" s="231">
        <f>L9+L10+L13+L17+L18+L19</f>
        <v>50862</v>
      </c>
      <c r="S7" s="85">
        <f>S8+S9+S10+S13+S17+S18+S19</f>
        <v>51842.2</v>
      </c>
      <c r="T7" s="85">
        <f>T8+T9+T10+T13+T17+T18+T19</f>
        <v>1974.8999999999999</v>
      </c>
      <c r="U7" s="85">
        <f aca="true" t="shared" si="1" ref="U7:Z7">U8+U9+U10+U13+U17+U18+U19</f>
        <v>3029.1</v>
      </c>
      <c r="V7" s="85">
        <f t="shared" si="1"/>
        <v>2691</v>
      </c>
      <c r="W7" s="85">
        <f t="shared" si="1"/>
        <v>1324.6</v>
      </c>
      <c r="X7" s="85">
        <f t="shared" si="1"/>
        <v>3179.1</v>
      </c>
      <c r="Y7" s="85">
        <f t="shared" si="1"/>
        <v>2341.7</v>
      </c>
      <c r="Z7" s="85">
        <f t="shared" si="1"/>
        <v>2382.7999999999997</v>
      </c>
      <c r="AA7" s="85">
        <f>AA8+AA9+AA10+AA13+AA17+AA18+AA19</f>
        <v>16923.2</v>
      </c>
      <c r="AB7" s="85">
        <f>S7+AA7-AA15-AA29</f>
        <v>68574.4</v>
      </c>
    </row>
    <row r="8" spans="1:28" ht="33">
      <c r="A8" s="59" t="s">
        <v>63</v>
      </c>
      <c r="B8" s="63" t="s">
        <v>336</v>
      </c>
      <c r="C8" s="77">
        <f>0</f>
        <v>0</v>
      </c>
      <c r="D8" s="78"/>
      <c r="E8" s="78"/>
      <c r="F8" s="78"/>
      <c r="G8" s="78"/>
      <c r="H8" s="78"/>
      <c r="I8" s="78"/>
      <c r="J8" s="78"/>
      <c r="K8" s="77">
        <f>0</f>
        <v>0</v>
      </c>
      <c r="L8" s="77">
        <f aca="true" t="shared" si="2" ref="L8:L82">C8+K8</f>
        <v>0</v>
      </c>
      <c r="S8" s="77">
        <f>1680.8</f>
        <v>1680.8</v>
      </c>
      <c r="T8" s="73"/>
      <c r="U8" s="73"/>
      <c r="V8" s="73"/>
      <c r="W8" s="73"/>
      <c r="X8" s="73"/>
      <c r="Y8" s="73"/>
      <c r="Z8" s="73"/>
      <c r="AA8" s="77">
        <f aca="true" t="shared" si="3" ref="AA8:AA15">SUM(T8:Z8)</f>
        <v>0</v>
      </c>
      <c r="AB8" s="77">
        <f>S8+AA8</f>
        <v>1680.8</v>
      </c>
    </row>
    <row r="9" spans="1:28" ht="16.5">
      <c r="A9" s="59" t="s">
        <v>65</v>
      </c>
      <c r="B9" s="63" t="s">
        <v>243</v>
      </c>
      <c r="C9" s="77">
        <v>657</v>
      </c>
      <c r="D9" s="78">
        <v>910.8</v>
      </c>
      <c r="E9" s="78">
        <v>0</v>
      </c>
      <c r="F9" s="78"/>
      <c r="G9" s="78"/>
      <c r="H9" s="78"/>
      <c r="I9" s="78"/>
      <c r="J9" s="78"/>
      <c r="K9" s="77">
        <v>881</v>
      </c>
      <c r="L9" s="77">
        <f t="shared" si="2"/>
        <v>1538</v>
      </c>
      <c r="R9" s="79"/>
      <c r="S9" s="77">
        <f>0</f>
        <v>0</v>
      </c>
      <c r="T9" s="73">
        <f>0</f>
        <v>0</v>
      </c>
      <c r="U9" s="73">
        <v>0</v>
      </c>
      <c r="V9" s="73"/>
      <c r="W9" s="73"/>
      <c r="X9" s="73"/>
      <c r="Y9" s="73"/>
      <c r="Z9" s="73"/>
      <c r="AA9" s="77">
        <f t="shared" si="3"/>
        <v>0</v>
      </c>
      <c r="AB9" s="77">
        <f>S9+AA9</f>
        <v>0</v>
      </c>
    </row>
    <row r="10" spans="1:28" ht="16.5">
      <c r="A10" s="59" t="s">
        <v>67</v>
      </c>
      <c r="B10" s="63" t="s">
        <v>337</v>
      </c>
      <c r="C10" s="77">
        <f>C11+C12</f>
        <v>18620.7</v>
      </c>
      <c r="D10" s="77">
        <f aca="true" t="shared" si="4" ref="D10:K10">D11+D12</f>
        <v>0</v>
      </c>
      <c r="E10" s="77">
        <f t="shared" si="4"/>
        <v>2062.9</v>
      </c>
      <c r="F10" s="77">
        <f t="shared" si="4"/>
        <v>2318.2</v>
      </c>
      <c r="G10" s="77">
        <f t="shared" si="4"/>
        <v>1689.9</v>
      </c>
      <c r="H10" s="77">
        <f t="shared" si="4"/>
        <v>2378</v>
      </c>
      <c r="I10" s="77">
        <f t="shared" si="4"/>
        <v>1995.9</v>
      </c>
      <c r="J10" s="77">
        <f t="shared" si="4"/>
        <v>2396</v>
      </c>
      <c r="K10" s="77">
        <f t="shared" si="4"/>
        <v>12336.4</v>
      </c>
      <c r="L10" s="77">
        <f t="shared" si="2"/>
        <v>30957.1</v>
      </c>
      <c r="S10" s="77">
        <f>S11+S12</f>
        <v>25251.4</v>
      </c>
      <c r="T10" s="73">
        <f aca="true" t="shared" si="5" ref="T10:Z10">T11+T12</f>
        <v>0</v>
      </c>
      <c r="U10" s="73">
        <f t="shared" si="5"/>
        <v>2939.4</v>
      </c>
      <c r="V10" s="73">
        <f t="shared" si="5"/>
        <v>2611.6</v>
      </c>
      <c r="W10" s="73">
        <f t="shared" si="5"/>
        <v>1255.1</v>
      </c>
      <c r="X10" s="73">
        <f t="shared" si="5"/>
        <v>3095.9</v>
      </c>
      <c r="Y10" s="73">
        <f t="shared" si="5"/>
        <v>2268.5</v>
      </c>
      <c r="Z10" s="73">
        <f t="shared" si="5"/>
        <v>2308.1</v>
      </c>
      <c r="AA10" s="77">
        <f t="shared" si="3"/>
        <v>14478.6</v>
      </c>
      <c r="AB10" s="77">
        <f>S10+AA10</f>
        <v>39730</v>
      </c>
    </row>
    <row r="11" spans="1:28" ht="16.5">
      <c r="A11" s="59"/>
      <c r="B11" s="63" t="s">
        <v>245</v>
      </c>
      <c r="C11" s="77">
        <v>18620.7</v>
      </c>
      <c r="D11" s="78">
        <v>0</v>
      </c>
      <c r="E11" s="78">
        <f>2056.4+6.5</f>
        <v>2062.9</v>
      </c>
      <c r="F11" s="78">
        <f>1932.3+371.9+14</f>
        <v>2318.2</v>
      </c>
      <c r="G11" s="78">
        <f>1305.1+371.9+12.9</f>
        <v>1689.9</v>
      </c>
      <c r="H11" s="78">
        <f>1991.1+371.9+15</f>
        <v>2378</v>
      </c>
      <c r="I11" s="78">
        <f>1606+371.9+18</f>
        <v>1995.9</v>
      </c>
      <c r="J11" s="78">
        <f>2009.1+371.9+15</f>
        <v>2396</v>
      </c>
      <c r="K11" s="77">
        <v>12336.4</v>
      </c>
      <c r="L11" s="77">
        <f t="shared" si="2"/>
        <v>30957.1</v>
      </c>
      <c r="S11" s="77">
        <f>25251.4</f>
        <v>25251.4</v>
      </c>
      <c r="T11" s="73">
        <v>0</v>
      </c>
      <c r="U11" s="73">
        <f>2939.4</f>
        <v>2939.4</v>
      </c>
      <c r="V11" s="73">
        <f>2611.6</f>
        <v>2611.6</v>
      </c>
      <c r="W11" s="73">
        <f>1255.1</f>
        <v>1255.1</v>
      </c>
      <c r="X11" s="73">
        <f>3095.9</f>
        <v>3095.9</v>
      </c>
      <c r="Y11" s="73">
        <f>2268.5</f>
        <v>2268.5</v>
      </c>
      <c r="Z11" s="73">
        <f>2308.1</f>
        <v>2308.1</v>
      </c>
      <c r="AA11" s="77">
        <f t="shared" si="3"/>
        <v>14478.6</v>
      </c>
      <c r="AB11" s="77">
        <f>S11+AA11</f>
        <v>39730</v>
      </c>
    </row>
    <row r="12" spans="1:28" ht="16.5">
      <c r="A12" s="80"/>
      <c r="B12" s="81" t="s">
        <v>68</v>
      </c>
      <c r="C12" s="77">
        <f>0</f>
        <v>0</v>
      </c>
      <c r="D12" s="78">
        <v>0</v>
      </c>
      <c r="E12" s="78"/>
      <c r="F12" s="78"/>
      <c r="G12" s="78"/>
      <c r="H12" s="78"/>
      <c r="I12" s="78"/>
      <c r="J12" s="78"/>
      <c r="K12" s="77">
        <f aca="true" t="shared" si="6" ref="K12:K26">D12+E12+F12+G12+H12+I12+J12</f>
        <v>0</v>
      </c>
      <c r="L12" s="82">
        <f t="shared" si="2"/>
        <v>0</v>
      </c>
      <c r="S12" s="82">
        <f>0</f>
        <v>0</v>
      </c>
      <c r="T12" s="82">
        <v>0</v>
      </c>
      <c r="U12" s="85"/>
      <c r="V12" s="85"/>
      <c r="W12" s="85"/>
      <c r="X12" s="85"/>
      <c r="Y12" s="85"/>
      <c r="Z12" s="85"/>
      <c r="AA12" s="77">
        <f t="shared" si="3"/>
        <v>0</v>
      </c>
      <c r="AB12" s="82">
        <f>S12+AA12</f>
        <v>0</v>
      </c>
    </row>
    <row r="13" spans="1:28" ht="33">
      <c r="A13" s="59" t="s">
        <v>70</v>
      </c>
      <c r="B13" s="63" t="s">
        <v>338</v>
      </c>
      <c r="C13" s="77">
        <f>C14+C15+C16</f>
        <v>6575</v>
      </c>
      <c r="D13" s="78">
        <v>0</v>
      </c>
      <c r="E13" s="78"/>
      <c r="F13" s="78"/>
      <c r="G13" s="78"/>
      <c r="H13" s="78"/>
      <c r="I13" s="78"/>
      <c r="J13" s="78"/>
      <c r="K13" s="77">
        <v>90.7</v>
      </c>
      <c r="L13" s="77">
        <f>C13+K13-K15</f>
        <v>6575</v>
      </c>
      <c r="S13" s="77">
        <f>S14+S15+S16</f>
        <v>8025.9</v>
      </c>
      <c r="T13" s="73">
        <v>0</v>
      </c>
      <c r="U13" s="73">
        <f aca="true" t="shared" si="7" ref="U13:Z13">U14+U15</f>
        <v>35</v>
      </c>
      <c r="V13" s="73">
        <f t="shared" si="7"/>
        <v>35</v>
      </c>
      <c r="W13" s="73">
        <f t="shared" si="7"/>
        <v>25</v>
      </c>
      <c r="X13" s="73">
        <f t="shared" si="7"/>
        <v>38</v>
      </c>
      <c r="Y13" s="73">
        <f t="shared" si="7"/>
        <v>28</v>
      </c>
      <c r="Z13" s="73">
        <f t="shared" si="7"/>
        <v>30</v>
      </c>
      <c r="AA13" s="77">
        <f t="shared" si="3"/>
        <v>191</v>
      </c>
      <c r="AB13" s="77">
        <f>S13+AA13-AA15</f>
        <v>8025.9</v>
      </c>
    </row>
    <row r="14" spans="1:28" ht="33">
      <c r="A14" s="59"/>
      <c r="B14" s="63" t="s">
        <v>71</v>
      </c>
      <c r="C14" s="77">
        <v>5948</v>
      </c>
      <c r="D14" s="78">
        <v>0</v>
      </c>
      <c r="E14" s="78"/>
      <c r="F14" s="78"/>
      <c r="G14" s="78"/>
      <c r="H14" s="78"/>
      <c r="I14" s="78"/>
      <c r="J14" s="78"/>
      <c r="K14" s="77">
        <f t="shared" si="6"/>
        <v>0</v>
      </c>
      <c r="L14" s="77">
        <f t="shared" si="2"/>
        <v>5948</v>
      </c>
      <c r="S14" s="77">
        <f>7588.4</f>
        <v>7588.4</v>
      </c>
      <c r="T14" s="73">
        <v>0</v>
      </c>
      <c r="U14" s="73">
        <v>0</v>
      </c>
      <c r="V14" s="73"/>
      <c r="W14" s="73"/>
      <c r="X14" s="73"/>
      <c r="Y14" s="73"/>
      <c r="Z14" s="73"/>
      <c r="AA14" s="77">
        <f t="shared" si="3"/>
        <v>0</v>
      </c>
      <c r="AB14" s="77">
        <f>S14+AA14</f>
        <v>7588.4</v>
      </c>
    </row>
    <row r="15" spans="1:28" ht="33">
      <c r="A15" s="80"/>
      <c r="B15" s="81" t="s">
        <v>248</v>
      </c>
      <c r="C15" s="82">
        <f>0</f>
        <v>0</v>
      </c>
      <c r="D15" s="83">
        <v>0</v>
      </c>
      <c r="E15" s="83">
        <v>14.3</v>
      </c>
      <c r="F15" s="83">
        <v>15.6</v>
      </c>
      <c r="G15" s="83">
        <v>14</v>
      </c>
      <c r="H15" s="83">
        <v>19.3</v>
      </c>
      <c r="I15" s="83">
        <v>11.8</v>
      </c>
      <c r="J15" s="83">
        <v>15.3</v>
      </c>
      <c r="K15" s="82">
        <v>90.7</v>
      </c>
      <c r="L15" s="82"/>
      <c r="S15" s="82">
        <f>0</f>
        <v>0</v>
      </c>
      <c r="T15" s="85">
        <v>0</v>
      </c>
      <c r="U15" s="85">
        <f>35</f>
        <v>35</v>
      </c>
      <c r="V15" s="85">
        <f>35</f>
        <v>35</v>
      </c>
      <c r="W15" s="85">
        <f>25</f>
        <v>25</v>
      </c>
      <c r="X15" s="85">
        <f>38</f>
        <v>38</v>
      </c>
      <c r="Y15" s="85">
        <f>28</f>
        <v>28</v>
      </c>
      <c r="Z15" s="85">
        <f>30</f>
        <v>30</v>
      </c>
      <c r="AA15" s="85">
        <f t="shared" si="3"/>
        <v>191</v>
      </c>
      <c r="AB15" s="82"/>
    </row>
    <row r="16" spans="1:28" ht="33">
      <c r="A16" s="59"/>
      <c r="B16" s="63" t="s">
        <v>339</v>
      </c>
      <c r="C16" s="77">
        <v>627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7">
        <f t="shared" si="6"/>
        <v>0</v>
      </c>
      <c r="L16" s="77">
        <f t="shared" si="2"/>
        <v>627</v>
      </c>
      <c r="S16" s="77">
        <f>437.5</f>
        <v>437.5</v>
      </c>
      <c r="T16" s="77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7">
        <f aca="true" t="shared" si="8" ref="AA16:AA31">T16+U16+V16+W16+X16+Y16+Z16</f>
        <v>0</v>
      </c>
      <c r="AB16" s="77">
        <f>S16+AA16</f>
        <v>437.5</v>
      </c>
    </row>
    <row r="17" spans="1:28" ht="33">
      <c r="A17" s="59" t="s">
        <v>74</v>
      </c>
      <c r="B17" s="63" t="s">
        <v>75</v>
      </c>
      <c r="C17" s="77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7">
        <f t="shared" si="6"/>
        <v>0</v>
      </c>
      <c r="L17" s="77">
        <f t="shared" si="2"/>
        <v>0</v>
      </c>
      <c r="S17" s="77">
        <v>0</v>
      </c>
      <c r="T17" s="77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7">
        <f t="shared" si="8"/>
        <v>0</v>
      </c>
      <c r="AB17" s="77">
        <f>S17+AA17</f>
        <v>0</v>
      </c>
    </row>
    <row r="18" spans="1:28" ht="16.5">
      <c r="A18" s="59" t="s">
        <v>76</v>
      </c>
      <c r="B18" s="63" t="s">
        <v>77</v>
      </c>
      <c r="C18" s="77">
        <v>400</v>
      </c>
      <c r="D18" s="78">
        <v>0</v>
      </c>
      <c r="E18" s="78">
        <v>10</v>
      </c>
      <c r="F18" s="78">
        <v>10</v>
      </c>
      <c r="G18" s="78">
        <v>10</v>
      </c>
      <c r="H18" s="78">
        <v>10</v>
      </c>
      <c r="I18" s="78">
        <v>10</v>
      </c>
      <c r="J18" s="78">
        <v>10</v>
      </c>
      <c r="K18" s="77">
        <v>90</v>
      </c>
      <c r="L18" s="77">
        <f t="shared" si="2"/>
        <v>490</v>
      </c>
      <c r="S18" s="77">
        <f>500</f>
        <v>500</v>
      </c>
      <c r="T18" s="77">
        <f>500</f>
        <v>500</v>
      </c>
      <c r="U18" s="73">
        <f>50</f>
        <v>50</v>
      </c>
      <c r="V18" s="73">
        <f>40</f>
        <v>40</v>
      </c>
      <c r="W18" s="73">
        <f>40</f>
        <v>40</v>
      </c>
      <c r="X18" s="73">
        <f>40</f>
        <v>40</v>
      </c>
      <c r="Y18" s="73">
        <f>40</f>
        <v>40</v>
      </c>
      <c r="Z18" s="73">
        <f>40</f>
        <v>40</v>
      </c>
      <c r="AA18" s="77">
        <f t="shared" si="8"/>
        <v>750</v>
      </c>
      <c r="AB18" s="77">
        <f>S18+AA18</f>
        <v>1250</v>
      </c>
    </row>
    <row r="19" spans="1:28" ht="16.5">
      <c r="A19" s="59" t="s">
        <v>78</v>
      </c>
      <c r="B19" s="63" t="s">
        <v>79</v>
      </c>
      <c r="C19" s="77">
        <f>C20+C21+C22+C23+C24+C25+C26+C27+C29</f>
        <v>10546.8</v>
      </c>
      <c r="D19" s="77">
        <f aca="true" t="shared" si="9" ref="D19:K19">D20+D21+D22+D23+D24+D25+D26+D27+D29</f>
        <v>325.6</v>
      </c>
      <c r="E19" s="77">
        <f t="shared" si="9"/>
        <v>4.4</v>
      </c>
      <c r="F19" s="77">
        <f t="shared" si="9"/>
        <v>4.4</v>
      </c>
      <c r="G19" s="77">
        <f t="shared" si="9"/>
        <v>4.5</v>
      </c>
      <c r="H19" s="77">
        <f t="shared" si="9"/>
        <v>5.2</v>
      </c>
      <c r="I19" s="77">
        <f t="shared" si="9"/>
        <v>4.4</v>
      </c>
      <c r="J19" s="77">
        <f t="shared" si="9"/>
        <v>4.4</v>
      </c>
      <c r="K19" s="77">
        <f t="shared" si="9"/>
        <v>755.1</v>
      </c>
      <c r="L19" s="77">
        <f>C19+K19-K29</f>
        <v>11301.9</v>
      </c>
      <c r="S19" s="77">
        <f>S20+S21+S22+S23+S24+S25+S26+S27+S28+S29</f>
        <v>16384.1</v>
      </c>
      <c r="T19" s="77">
        <f>T20+T21+T22+T23+T24+T25+T26+T27+T28+T29</f>
        <v>1474.8999999999999</v>
      </c>
      <c r="U19" s="77">
        <f aca="true" t="shared" si="10" ref="U19:Z19">U20+U21+U22+U23+U24+U25+U26+U27+U28+U29</f>
        <v>4.7</v>
      </c>
      <c r="V19" s="77">
        <f t="shared" si="10"/>
        <v>4.4</v>
      </c>
      <c r="W19" s="77">
        <f t="shared" si="10"/>
        <v>4.5</v>
      </c>
      <c r="X19" s="77">
        <f t="shared" si="10"/>
        <v>5.2</v>
      </c>
      <c r="Y19" s="77">
        <f t="shared" si="10"/>
        <v>5.2</v>
      </c>
      <c r="Z19" s="77">
        <f t="shared" si="10"/>
        <v>4.7</v>
      </c>
      <c r="AA19" s="77">
        <f>AA20+AA21+AA22+AA23+AA24+AA25+AA26+AA27+AA28+AA29</f>
        <v>1503.6</v>
      </c>
      <c r="AB19" s="77">
        <f>AB20+AB21+AB22+AB23+AB24+AB25+AB26+AB27+AB28+AB29</f>
        <v>16887.7</v>
      </c>
    </row>
    <row r="20" spans="1:28" ht="49.5">
      <c r="A20" s="59"/>
      <c r="B20" s="63" t="s">
        <v>340</v>
      </c>
      <c r="C20" s="77">
        <v>5656.7</v>
      </c>
      <c r="D20" s="78"/>
      <c r="E20" s="78"/>
      <c r="F20" s="78"/>
      <c r="G20" s="78"/>
      <c r="H20" s="78">
        <v>0</v>
      </c>
      <c r="I20" s="78"/>
      <c r="J20" s="78"/>
      <c r="K20" s="77">
        <f t="shared" si="6"/>
        <v>0</v>
      </c>
      <c r="L20" s="77">
        <f t="shared" si="2"/>
        <v>5656.7</v>
      </c>
      <c r="S20" s="77">
        <f>6959.8</f>
        <v>6959.8</v>
      </c>
      <c r="T20" s="77">
        <v>0</v>
      </c>
      <c r="U20" s="73">
        <v>0</v>
      </c>
      <c r="V20" s="73"/>
      <c r="W20" s="73"/>
      <c r="X20" s="73">
        <v>0</v>
      </c>
      <c r="Y20" s="73"/>
      <c r="Z20" s="73"/>
      <c r="AA20" s="77">
        <f t="shared" si="8"/>
        <v>0</v>
      </c>
      <c r="AB20" s="77">
        <f>S20+AA20</f>
        <v>6959.8</v>
      </c>
    </row>
    <row r="21" spans="1:28" ht="49.5">
      <c r="A21" s="59"/>
      <c r="B21" s="63" t="s">
        <v>341</v>
      </c>
      <c r="C21" s="77">
        <v>1743.1</v>
      </c>
      <c r="D21" s="78"/>
      <c r="E21" s="78"/>
      <c r="F21" s="78"/>
      <c r="G21" s="78"/>
      <c r="H21" s="78">
        <v>0</v>
      </c>
      <c r="I21" s="78"/>
      <c r="J21" s="78"/>
      <c r="K21" s="77">
        <f t="shared" si="6"/>
        <v>0</v>
      </c>
      <c r="L21" s="77">
        <f t="shared" si="2"/>
        <v>1743.1</v>
      </c>
      <c r="S21" s="77">
        <f>3626.8</f>
        <v>3626.8</v>
      </c>
      <c r="T21" s="77">
        <v>0</v>
      </c>
      <c r="U21" s="73">
        <v>0</v>
      </c>
      <c r="V21" s="73"/>
      <c r="W21" s="73"/>
      <c r="X21" s="73">
        <v>0</v>
      </c>
      <c r="Y21" s="73"/>
      <c r="Z21" s="73"/>
      <c r="AA21" s="77">
        <f t="shared" si="8"/>
        <v>0</v>
      </c>
      <c r="AB21" s="77">
        <f>S21+AA21</f>
        <v>3626.8</v>
      </c>
    </row>
    <row r="22" spans="1:28" ht="16.5">
      <c r="A22" s="59"/>
      <c r="B22" s="63" t="s">
        <v>250</v>
      </c>
      <c r="C22" s="77">
        <v>0</v>
      </c>
      <c r="D22" s="78">
        <v>325.6</v>
      </c>
      <c r="E22" s="78">
        <v>0</v>
      </c>
      <c r="F22" s="78"/>
      <c r="G22" s="78"/>
      <c r="H22" s="78"/>
      <c r="I22" s="78"/>
      <c r="J22" s="78"/>
      <c r="K22" s="77">
        <v>500</v>
      </c>
      <c r="L22" s="77">
        <f>K22</f>
        <v>500</v>
      </c>
      <c r="S22" s="77">
        <v>0</v>
      </c>
      <c r="T22" s="77">
        <f>975.8</f>
        <v>975.8</v>
      </c>
      <c r="U22" s="73">
        <v>0</v>
      </c>
      <c r="V22" s="73"/>
      <c r="W22" s="73"/>
      <c r="X22" s="73"/>
      <c r="Y22" s="73"/>
      <c r="Z22" s="73"/>
      <c r="AA22" s="77">
        <f t="shared" si="8"/>
        <v>975.8</v>
      </c>
      <c r="AB22" s="77">
        <f>AA22</f>
        <v>975.8</v>
      </c>
    </row>
    <row r="23" spans="1:28" ht="49.5">
      <c r="A23" s="59"/>
      <c r="B23" s="63" t="s">
        <v>342</v>
      </c>
      <c r="C23" s="77">
        <v>30</v>
      </c>
      <c r="D23" s="78"/>
      <c r="E23" s="78">
        <v>4.4</v>
      </c>
      <c r="F23" s="78">
        <v>4.4</v>
      </c>
      <c r="G23" s="78">
        <v>4.5</v>
      </c>
      <c r="H23" s="78">
        <v>5.2</v>
      </c>
      <c r="I23" s="78">
        <v>4.4</v>
      </c>
      <c r="J23" s="78">
        <v>4.4</v>
      </c>
      <c r="K23" s="77">
        <v>28.1</v>
      </c>
      <c r="L23" s="77">
        <f t="shared" si="2"/>
        <v>58.1</v>
      </c>
      <c r="S23" s="77">
        <f>50</f>
        <v>50</v>
      </c>
      <c r="T23" s="77">
        <f>29</f>
        <v>29</v>
      </c>
      <c r="U23" s="73">
        <f>4.7</f>
        <v>4.7</v>
      </c>
      <c r="V23" s="73">
        <v>4.4</v>
      </c>
      <c r="W23" s="73">
        <v>4.5</v>
      </c>
      <c r="X23" s="73">
        <v>5.2</v>
      </c>
      <c r="Y23" s="73">
        <v>5.2</v>
      </c>
      <c r="Z23" s="73">
        <f>4.7</f>
        <v>4.7</v>
      </c>
      <c r="AA23" s="77">
        <f t="shared" si="8"/>
        <v>57.70000000000001</v>
      </c>
      <c r="AB23" s="77">
        <f>S23+AA23</f>
        <v>107.70000000000002</v>
      </c>
    </row>
    <row r="24" spans="1:28" ht="33">
      <c r="A24" s="59"/>
      <c r="B24" s="63" t="s">
        <v>318</v>
      </c>
      <c r="C24" s="77">
        <v>0</v>
      </c>
      <c r="D24" s="78"/>
      <c r="E24" s="78"/>
      <c r="F24" s="78"/>
      <c r="G24" s="78"/>
      <c r="H24" s="78"/>
      <c r="I24" s="78"/>
      <c r="J24" s="78"/>
      <c r="K24" s="77">
        <f t="shared" si="6"/>
        <v>0</v>
      </c>
      <c r="L24" s="77">
        <f t="shared" si="2"/>
        <v>0</v>
      </c>
      <c r="S24" s="77">
        <f>263.3</f>
        <v>263.3</v>
      </c>
      <c r="T24" s="77">
        <f>220.1</f>
        <v>220.1</v>
      </c>
      <c r="U24" s="73"/>
      <c r="V24" s="73"/>
      <c r="W24" s="73"/>
      <c r="X24" s="73"/>
      <c r="Y24" s="73"/>
      <c r="Z24" s="73"/>
      <c r="AA24" s="77">
        <f t="shared" si="8"/>
        <v>220.1</v>
      </c>
      <c r="AB24" s="77">
        <f>S24+AA24</f>
        <v>483.4</v>
      </c>
    </row>
    <row r="25" spans="1:28" ht="49.5">
      <c r="A25" s="59"/>
      <c r="B25" s="63" t="s">
        <v>343</v>
      </c>
      <c r="C25" s="77">
        <v>100</v>
      </c>
      <c r="D25" s="78"/>
      <c r="E25" s="78"/>
      <c r="F25" s="78"/>
      <c r="G25" s="78"/>
      <c r="H25" s="78"/>
      <c r="I25" s="78"/>
      <c r="J25" s="78"/>
      <c r="K25" s="77">
        <v>47</v>
      </c>
      <c r="L25" s="77">
        <f t="shared" si="2"/>
        <v>147</v>
      </c>
      <c r="S25" s="77">
        <f>200</f>
        <v>200</v>
      </c>
      <c r="T25" s="77">
        <f>0</f>
        <v>0</v>
      </c>
      <c r="U25" s="73"/>
      <c r="V25" s="73"/>
      <c r="W25" s="73"/>
      <c r="X25" s="73"/>
      <c r="Y25" s="73"/>
      <c r="Z25" s="73"/>
      <c r="AA25" s="77">
        <f t="shared" si="8"/>
        <v>0</v>
      </c>
      <c r="AB25" s="77">
        <f>S25+AA25</f>
        <v>200</v>
      </c>
    </row>
    <row r="26" spans="1:28" ht="82.5">
      <c r="A26" s="59"/>
      <c r="B26" s="63" t="s">
        <v>372</v>
      </c>
      <c r="C26" s="77">
        <v>3017</v>
      </c>
      <c r="D26" s="78"/>
      <c r="E26" s="78"/>
      <c r="F26" s="78"/>
      <c r="G26" s="78"/>
      <c r="H26" s="78"/>
      <c r="I26" s="78"/>
      <c r="J26" s="78"/>
      <c r="K26" s="77">
        <f t="shared" si="6"/>
        <v>0</v>
      </c>
      <c r="L26" s="77">
        <f t="shared" si="2"/>
        <v>3017</v>
      </c>
      <c r="S26" s="77">
        <f>4284.2</f>
        <v>4284.2</v>
      </c>
      <c r="T26" s="77">
        <f>0</f>
        <v>0</v>
      </c>
      <c r="U26" s="73"/>
      <c r="V26" s="73"/>
      <c r="W26" s="73"/>
      <c r="X26" s="73"/>
      <c r="Y26" s="73"/>
      <c r="Z26" s="73"/>
      <c r="AA26" s="77">
        <f t="shared" si="8"/>
        <v>0</v>
      </c>
      <c r="AB26" s="77">
        <f>S26+AA26</f>
        <v>4284.2</v>
      </c>
    </row>
    <row r="27" spans="1:28" ht="20.25" customHeight="1">
      <c r="A27" s="59"/>
      <c r="B27" s="63" t="s">
        <v>252</v>
      </c>
      <c r="C27" s="77">
        <v>0</v>
      </c>
      <c r="D27" s="78"/>
      <c r="E27" s="78"/>
      <c r="F27" s="78"/>
      <c r="G27" s="78"/>
      <c r="H27" s="78"/>
      <c r="I27" s="78"/>
      <c r="J27" s="78"/>
      <c r="K27" s="77">
        <v>180</v>
      </c>
      <c r="L27" s="77">
        <f t="shared" si="2"/>
        <v>180</v>
      </c>
      <c r="S27" s="77">
        <v>0</v>
      </c>
      <c r="T27" s="77">
        <f>250</f>
        <v>250</v>
      </c>
      <c r="U27" s="73"/>
      <c r="V27" s="73"/>
      <c r="W27" s="73"/>
      <c r="X27" s="73"/>
      <c r="Y27" s="73"/>
      <c r="Z27" s="73"/>
      <c r="AA27" s="77">
        <f t="shared" si="8"/>
        <v>250</v>
      </c>
      <c r="AB27" s="77">
        <f>S27+AA27</f>
        <v>250</v>
      </c>
    </row>
    <row r="28" spans="1:28" ht="33">
      <c r="A28" s="59"/>
      <c r="B28" s="63" t="s">
        <v>14</v>
      </c>
      <c r="C28" s="77"/>
      <c r="D28" s="78"/>
      <c r="E28" s="78"/>
      <c r="F28" s="78"/>
      <c r="G28" s="78"/>
      <c r="H28" s="78"/>
      <c r="I28" s="78"/>
      <c r="J28" s="78"/>
      <c r="K28" s="77"/>
      <c r="L28" s="77"/>
      <c r="S28" s="77">
        <f>1000</f>
        <v>1000</v>
      </c>
      <c r="T28" s="77">
        <f>0</f>
        <v>0</v>
      </c>
      <c r="U28" s="73"/>
      <c r="V28" s="73"/>
      <c r="W28" s="73"/>
      <c r="X28" s="73"/>
      <c r="Y28" s="73"/>
      <c r="Z28" s="73"/>
      <c r="AA28" s="77"/>
      <c r="AB28" s="77"/>
    </row>
    <row r="29" spans="1:28" ht="16.5" hidden="1">
      <c r="A29" s="59"/>
      <c r="B29" s="63" t="s">
        <v>253</v>
      </c>
      <c r="C29" s="77"/>
      <c r="D29" s="78"/>
      <c r="E29" s="78"/>
      <c r="F29" s="78"/>
      <c r="G29" s="78"/>
      <c r="H29" s="78"/>
      <c r="I29" s="78"/>
      <c r="J29" s="78"/>
      <c r="K29" s="77">
        <v>0</v>
      </c>
      <c r="L29" s="77"/>
      <c r="S29" s="77"/>
      <c r="T29" s="77"/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7">
        <v>0</v>
      </c>
      <c r="AB29" s="77"/>
    </row>
    <row r="30" spans="1:28" s="1" customFormat="1" ht="21" customHeight="1">
      <c r="A30" s="228" t="s">
        <v>86</v>
      </c>
      <c r="B30" s="229" t="s">
        <v>87</v>
      </c>
      <c r="C30" s="85">
        <f>C31</f>
        <v>0</v>
      </c>
      <c r="D30" s="232">
        <f aca="true" t="shared" si="11" ref="D30:J30">D31</f>
        <v>0</v>
      </c>
      <c r="E30" s="232">
        <f t="shared" si="11"/>
        <v>0</v>
      </c>
      <c r="F30" s="232">
        <f t="shared" si="11"/>
        <v>0</v>
      </c>
      <c r="G30" s="232">
        <f t="shared" si="11"/>
        <v>0</v>
      </c>
      <c r="H30" s="232">
        <f t="shared" si="11"/>
        <v>0</v>
      </c>
      <c r="I30" s="232">
        <f t="shared" si="11"/>
        <v>0</v>
      </c>
      <c r="J30" s="232">
        <f t="shared" si="11"/>
        <v>0</v>
      </c>
      <c r="K30" s="85">
        <f>K31</f>
        <v>960</v>
      </c>
      <c r="L30" s="85">
        <f t="shared" si="2"/>
        <v>960</v>
      </c>
      <c r="M30" s="134"/>
      <c r="N30" s="134"/>
      <c r="O30" s="134"/>
      <c r="P30" s="134"/>
      <c r="Q30" s="134"/>
      <c r="R30" s="233"/>
      <c r="S30" s="85">
        <f>S31</f>
        <v>0</v>
      </c>
      <c r="T30" s="85">
        <f aca="true" t="shared" si="12" ref="T30:Z30">T31</f>
        <v>0</v>
      </c>
      <c r="U30" s="85">
        <f t="shared" si="12"/>
        <v>175.7</v>
      </c>
      <c r="V30" s="85">
        <f t="shared" si="12"/>
        <v>70.3</v>
      </c>
      <c r="W30" s="85">
        <f t="shared" si="12"/>
        <v>175.7</v>
      </c>
      <c r="X30" s="85">
        <f t="shared" si="12"/>
        <v>175.7</v>
      </c>
      <c r="Y30" s="85">
        <f t="shared" si="12"/>
        <v>175.7</v>
      </c>
      <c r="Z30" s="85">
        <f t="shared" si="12"/>
        <v>175.7</v>
      </c>
      <c r="AA30" s="85">
        <f>AA31</f>
        <v>948.8</v>
      </c>
      <c r="AB30" s="85">
        <f>S30+AA30</f>
        <v>948.8</v>
      </c>
    </row>
    <row r="31" spans="1:28" ht="49.5">
      <c r="A31" s="59" t="s">
        <v>88</v>
      </c>
      <c r="B31" s="63" t="s">
        <v>254</v>
      </c>
      <c r="C31" s="77">
        <v>0</v>
      </c>
      <c r="D31" s="78"/>
      <c r="E31" s="78"/>
      <c r="F31" s="78"/>
      <c r="G31" s="78"/>
      <c r="H31" s="78"/>
      <c r="I31" s="78"/>
      <c r="J31" s="78"/>
      <c r="K31" s="77">
        <v>960</v>
      </c>
      <c r="L31" s="77">
        <f t="shared" si="2"/>
        <v>960</v>
      </c>
      <c r="S31" s="77">
        <v>0</v>
      </c>
      <c r="T31" s="77"/>
      <c r="U31" s="73">
        <f>175.7</f>
        <v>175.7</v>
      </c>
      <c r="V31" s="73">
        <f>70.3</f>
        <v>70.3</v>
      </c>
      <c r="W31" s="73">
        <f>175.7</f>
        <v>175.7</v>
      </c>
      <c r="X31" s="73">
        <f>175.7</f>
        <v>175.7</v>
      </c>
      <c r="Y31" s="73">
        <f>175.7</f>
        <v>175.7</v>
      </c>
      <c r="Z31" s="73">
        <f>175.7</f>
        <v>175.7</v>
      </c>
      <c r="AA31" s="77">
        <f t="shared" si="8"/>
        <v>948.8</v>
      </c>
      <c r="AB31" s="77">
        <f>S31+AA31</f>
        <v>948.8</v>
      </c>
    </row>
    <row r="32" spans="1:28" s="1" customFormat="1" ht="49.5">
      <c r="A32" s="228" t="s">
        <v>90</v>
      </c>
      <c r="B32" s="229" t="s">
        <v>345</v>
      </c>
      <c r="C32" s="85">
        <f>C33+C36</f>
        <v>200</v>
      </c>
      <c r="D32" s="232">
        <f aca="true" t="shared" si="13" ref="D32:J32">D33+D36</f>
        <v>580</v>
      </c>
      <c r="E32" s="232">
        <f t="shared" si="13"/>
        <v>0</v>
      </c>
      <c r="F32" s="232">
        <f t="shared" si="13"/>
        <v>100</v>
      </c>
      <c r="G32" s="232">
        <f t="shared" si="13"/>
        <v>0</v>
      </c>
      <c r="H32" s="232">
        <f t="shared" si="13"/>
        <v>30</v>
      </c>
      <c r="I32" s="232">
        <f t="shared" si="13"/>
        <v>0</v>
      </c>
      <c r="J32" s="232">
        <f t="shared" si="13"/>
        <v>0</v>
      </c>
      <c r="K32" s="85">
        <f>K33+K36</f>
        <v>630</v>
      </c>
      <c r="L32" s="85">
        <f>C32+K32</f>
        <v>830</v>
      </c>
      <c r="M32" s="134"/>
      <c r="N32" s="134"/>
      <c r="O32" s="134"/>
      <c r="P32" s="134"/>
      <c r="Q32" s="134"/>
      <c r="R32" s="233"/>
      <c r="S32" s="85">
        <f>S33+S36</f>
        <v>200</v>
      </c>
      <c r="T32" s="85">
        <f aca="true" t="shared" si="14" ref="T32:Z32">T33+T36</f>
        <v>690</v>
      </c>
      <c r="U32" s="85">
        <f t="shared" si="14"/>
        <v>0</v>
      </c>
      <c r="V32" s="85">
        <f t="shared" si="14"/>
        <v>0</v>
      </c>
      <c r="W32" s="85">
        <f t="shared" si="14"/>
        <v>0</v>
      </c>
      <c r="X32" s="85">
        <f t="shared" si="14"/>
        <v>0</v>
      </c>
      <c r="Y32" s="85">
        <f t="shared" si="14"/>
        <v>0</v>
      </c>
      <c r="Z32" s="85">
        <f t="shared" si="14"/>
        <v>0</v>
      </c>
      <c r="AA32" s="85">
        <f>AA33+AA36</f>
        <v>690</v>
      </c>
      <c r="AB32" s="85">
        <f>S32+AA32</f>
        <v>890</v>
      </c>
    </row>
    <row r="33" spans="1:28" ht="47.25">
      <c r="A33" s="59" t="s">
        <v>91</v>
      </c>
      <c r="B33" s="86" t="s">
        <v>373</v>
      </c>
      <c r="C33" s="77">
        <f>C34</f>
        <v>200</v>
      </c>
      <c r="D33" s="78">
        <f>D34</f>
        <v>580</v>
      </c>
      <c r="E33" s="78"/>
      <c r="F33" s="78"/>
      <c r="G33" s="78"/>
      <c r="H33" s="78"/>
      <c r="I33" s="78"/>
      <c r="J33" s="78"/>
      <c r="K33" s="77">
        <v>630</v>
      </c>
      <c r="L33" s="77">
        <f>C33+K33-K35</f>
        <v>830</v>
      </c>
      <c r="S33" s="77">
        <f>S34</f>
        <v>200</v>
      </c>
      <c r="T33" s="77">
        <f>T34</f>
        <v>690</v>
      </c>
      <c r="U33" s="73"/>
      <c r="V33" s="73"/>
      <c r="W33" s="73"/>
      <c r="X33" s="73"/>
      <c r="Y33" s="73"/>
      <c r="Z33" s="73"/>
      <c r="AA33" s="77">
        <f>AA34</f>
        <v>690</v>
      </c>
      <c r="AB33" s="77">
        <f>S33+AA33-AA35</f>
        <v>890</v>
      </c>
    </row>
    <row r="34" spans="1:28" ht="16.5">
      <c r="A34" s="59"/>
      <c r="B34" s="63" t="s">
        <v>100</v>
      </c>
      <c r="C34" s="77">
        <v>200</v>
      </c>
      <c r="D34" s="78">
        <v>580</v>
      </c>
      <c r="E34" s="78"/>
      <c r="F34" s="78"/>
      <c r="G34" s="78"/>
      <c r="H34" s="78"/>
      <c r="I34" s="78"/>
      <c r="J34" s="78"/>
      <c r="K34" s="77">
        <v>630</v>
      </c>
      <c r="L34" s="77">
        <f t="shared" si="2"/>
        <v>830</v>
      </c>
      <c r="S34" s="77">
        <v>200</v>
      </c>
      <c r="T34" s="77">
        <f>100+580+10</f>
        <v>690</v>
      </c>
      <c r="U34" s="73"/>
      <c r="V34" s="73"/>
      <c r="W34" s="73"/>
      <c r="X34" s="73"/>
      <c r="Y34" s="73"/>
      <c r="Z34" s="73"/>
      <c r="AA34" s="77">
        <f>T34+U34+V34+W34+X34+Y34+Z34</f>
        <v>690</v>
      </c>
      <c r="AB34" s="77">
        <f>S34+AA34</f>
        <v>890</v>
      </c>
    </row>
    <row r="35" spans="1:28" ht="16.5" hidden="1">
      <c r="A35" s="80"/>
      <c r="B35" s="81" t="s">
        <v>72</v>
      </c>
      <c r="C35" s="77"/>
      <c r="D35" s="78"/>
      <c r="E35" s="78"/>
      <c r="F35" s="78"/>
      <c r="G35" s="78"/>
      <c r="H35" s="78"/>
      <c r="I35" s="78"/>
      <c r="J35" s="78"/>
      <c r="K35" s="77"/>
      <c r="L35" s="82"/>
      <c r="S35" s="82"/>
      <c r="T35" s="82"/>
      <c r="U35" s="85"/>
      <c r="V35" s="85"/>
      <c r="W35" s="85"/>
      <c r="X35" s="85"/>
      <c r="Y35" s="85"/>
      <c r="Z35" s="85"/>
      <c r="AA35" s="77"/>
      <c r="AB35" s="82"/>
    </row>
    <row r="36" spans="1:28" ht="16.5">
      <c r="A36" s="59" t="s">
        <v>98</v>
      </c>
      <c r="B36" s="63" t="s">
        <v>99</v>
      </c>
      <c r="C36" s="77">
        <f>C37</f>
        <v>0</v>
      </c>
      <c r="D36" s="78">
        <f aca="true" t="shared" si="15" ref="D36:J36">D37</f>
        <v>0</v>
      </c>
      <c r="E36" s="78">
        <f t="shared" si="15"/>
        <v>0</v>
      </c>
      <c r="F36" s="78">
        <f t="shared" si="15"/>
        <v>100</v>
      </c>
      <c r="G36" s="78">
        <f t="shared" si="15"/>
        <v>0</v>
      </c>
      <c r="H36" s="78">
        <f t="shared" si="15"/>
        <v>30</v>
      </c>
      <c r="I36" s="78">
        <f t="shared" si="15"/>
        <v>0</v>
      </c>
      <c r="J36" s="78">
        <f t="shared" si="15"/>
        <v>0</v>
      </c>
      <c r="K36" s="77">
        <f>K37</f>
        <v>0</v>
      </c>
      <c r="L36" s="77">
        <f t="shared" si="2"/>
        <v>0</v>
      </c>
      <c r="S36" s="77">
        <f>S37</f>
        <v>0</v>
      </c>
      <c r="T36" s="77">
        <f aca="true" t="shared" si="16" ref="T36:Z36">T37</f>
        <v>0</v>
      </c>
      <c r="U36" s="73">
        <f t="shared" si="16"/>
        <v>0</v>
      </c>
      <c r="V36" s="73">
        <f t="shared" si="16"/>
        <v>0</v>
      </c>
      <c r="W36" s="73">
        <f t="shared" si="16"/>
        <v>0</v>
      </c>
      <c r="X36" s="73">
        <f t="shared" si="16"/>
        <v>0</v>
      </c>
      <c r="Y36" s="73">
        <f t="shared" si="16"/>
        <v>0</v>
      </c>
      <c r="Z36" s="73">
        <f t="shared" si="16"/>
        <v>0</v>
      </c>
      <c r="AA36" s="77">
        <f>AA37</f>
        <v>0</v>
      </c>
      <c r="AB36" s="77">
        <f>S36+AA36</f>
        <v>0</v>
      </c>
    </row>
    <row r="37" spans="1:28" ht="16.5">
      <c r="A37" s="59"/>
      <c r="B37" s="63" t="s">
        <v>100</v>
      </c>
      <c r="C37" s="77">
        <f>0</f>
        <v>0</v>
      </c>
      <c r="D37" s="78"/>
      <c r="E37" s="78">
        <v>0</v>
      </c>
      <c r="F37" s="78">
        <v>100</v>
      </c>
      <c r="G37" s="78"/>
      <c r="H37" s="78">
        <v>30</v>
      </c>
      <c r="I37" s="78"/>
      <c r="J37" s="78"/>
      <c r="K37" s="77">
        <v>0</v>
      </c>
      <c r="L37" s="77">
        <f t="shared" si="2"/>
        <v>0</v>
      </c>
      <c r="S37" s="77">
        <f>0</f>
        <v>0</v>
      </c>
      <c r="T37" s="77"/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7">
        <v>0</v>
      </c>
      <c r="AB37" s="77">
        <f>S37+AA37</f>
        <v>0</v>
      </c>
    </row>
    <row r="38" spans="1:28" s="1" customFormat="1" ht="26.25" customHeight="1">
      <c r="A38" s="228" t="s">
        <v>101</v>
      </c>
      <c r="B38" s="229" t="s">
        <v>102</v>
      </c>
      <c r="C38" s="85">
        <f>C40+C45</f>
        <v>46816.7</v>
      </c>
      <c r="D38" s="232">
        <f aca="true" t="shared" si="17" ref="D38:J38">D40+D45</f>
        <v>8504.5</v>
      </c>
      <c r="E38" s="232">
        <f t="shared" si="17"/>
        <v>0</v>
      </c>
      <c r="F38" s="232">
        <f t="shared" si="17"/>
        <v>0</v>
      </c>
      <c r="G38" s="232">
        <f t="shared" si="17"/>
        <v>0</v>
      </c>
      <c r="H38" s="232">
        <f t="shared" si="17"/>
        <v>0</v>
      </c>
      <c r="I38" s="232">
        <f t="shared" si="17"/>
        <v>0</v>
      </c>
      <c r="J38" s="232">
        <f t="shared" si="17"/>
        <v>0</v>
      </c>
      <c r="K38" s="85">
        <f>K40+K45</f>
        <v>5833.9</v>
      </c>
      <c r="L38" s="85">
        <f>C38+K38-K44</f>
        <v>52650.6</v>
      </c>
      <c r="M38" s="134"/>
      <c r="N38" s="134"/>
      <c r="O38" s="134"/>
      <c r="P38" s="134"/>
      <c r="Q38" s="134"/>
      <c r="R38" s="234"/>
      <c r="S38" s="85">
        <f>S39+S40+S45</f>
        <v>23927.5</v>
      </c>
      <c r="T38" s="85">
        <f aca="true" t="shared" si="18" ref="T38:AA38">T39+T40+T45</f>
        <v>11159.3</v>
      </c>
      <c r="U38" s="85">
        <f t="shared" si="18"/>
        <v>30</v>
      </c>
      <c r="V38" s="85">
        <f t="shared" si="18"/>
        <v>0</v>
      </c>
      <c r="W38" s="85">
        <f t="shared" si="18"/>
        <v>0</v>
      </c>
      <c r="X38" s="85">
        <f t="shared" si="18"/>
        <v>21</v>
      </c>
      <c r="Y38" s="85">
        <f t="shared" si="18"/>
        <v>0</v>
      </c>
      <c r="Z38" s="85">
        <f t="shared" si="18"/>
        <v>50</v>
      </c>
      <c r="AA38" s="85">
        <f t="shared" si="18"/>
        <v>11260.3</v>
      </c>
      <c r="AB38" s="85">
        <f>S38+AA38-AA44</f>
        <v>35187.8</v>
      </c>
    </row>
    <row r="39" spans="1:28" s="1" customFormat="1" ht="27" customHeight="1">
      <c r="A39" s="59" t="s">
        <v>221</v>
      </c>
      <c r="B39" s="63" t="s">
        <v>214</v>
      </c>
      <c r="C39" s="73"/>
      <c r="D39" s="61"/>
      <c r="E39" s="61"/>
      <c r="F39" s="61"/>
      <c r="G39" s="61"/>
      <c r="H39" s="61"/>
      <c r="I39" s="61"/>
      <c r="J39" s="61"/>
      <c r="K39" s="73"/>
      <c r="L39" s="73"/>
      <c r="R39" s="87"/>
      <c r="S39" s="77">
        <f>133.9</f>
        <v>133.9</v>
      </c>
      <c r="T39" s="77"/>
      <c r="U39" s="73"/>
      <c r="V39" s="73"/>
      <c r="W39" s="73"/>
      <c r="X39" s="73"/>
      <c r="Y39" s="73"/>
      <c r="Z39" s="73"/>
      <c r="AA39" s="77">
        <f>0</f>
        <v>0</v>
      </c>
      <c r="AB39" s="77">
        <f>S39+AA39</f>
        <v>133.9</v>
      </c>
    </row>
    <row r="40" spans="1:28" ht="24" customHeight="1">
      <c r="A40" s="59" t="s">
        <v>103</v>
      </c>
      <c r="B40" s="88" t="s">
        <v>374</v>
      </c>
      <c r="C40" s="77">
        <f>C41+C42+C43+C44</f>
        <v>46716.7</v>
      </c>
      <c r="D40" s="77">
        <f aca="true" t="shared" si="19" ref="D40:K40">D41+D42+D43+D44</f>
        <v>8504.5</v>
      </c>
      <c r="E40" s="77">
        <f t="shared" si="19"/>
        <v>0</v>
      </c>
      <c r="F40" s="77">
        <f t="shared" si="19"/>
        <v>0</v>
      </c>
      <c r="G40" s="77">
        <f t="shared" si="19"/>
        <v>0</v>
      </c>
      <c r="H40" s="77">
        <f t="shared" si="19"/>
        <v>0</v>
      </c>
      <c r="I40" s="77">
        <f t="shared" si="19"/>
        <v>0</v>
      </c>
      <c r="J40" s="77">
        <f t="shared" si="19"/>
        <v>0</v>
      </c>
      <c r="K40" s="77">
        <f t="shared" si="19"/>
        <v>5833.9</v>
      </c>
      <c r="L40" s="77">
        <f>C40+K40-K44</f>
        <v>52550.6</v>
      </c>
      <c r="S40" s="77">
        <f>S41+S42+S43+S44</f>
        <v>23078.6</v>
      </c>
      <c r="T40" s="77">
        <f aca="true" t="shared" si="20" ref="T40:AA40">T41+T42+T43+T44</f>
        <v>11159.3</v>
      </c>
      <c r="U40" s="245">
        <f t="shared" si="20"/>
        <v>0</v>
      </c>
      <c r="V40" s="245">
        <f t="shared" si="20"/>
        <v>0</v>
      </c>
      <c r="W40" s="245">
        <f t="shared" si="20"/>
        <v>0</v>
      </c>
      <c r="X40" s="245">
        <f t="shared" si="20"/>
        <v>0</v>
      </c>
      <c r="Y40" s="245">
        <f t="shared" si="20"/>
        <v>0</v>
      </c>
      <c r="Z40" s="245">
        <f t="shared" si="20"/>
        <v>0</v>
      </c>
      <c r="AA40" s="77">
        <f t="shared" si="20"/>
        <v>11159.3</v>
      </c>
      <c r="AB40" s="77">
        <f>S40+AA40-AA44</f>
        <v>34237.899999999994</v>
      </c>
    </row>
    <row r="41" spans="1:28" ht="47.25" hidden="1">
      <c r="A41" s="59"/>
      <c r="B41" s="88" t="s">
        <v>258</v>
      </c>
      <c r="C41" s="77">
        <v>17245.8</v>
      </c>
      <c r="D41" s="78"/>
      <c r="E41" s="78"/>
      <c r="F41" s="78"/>
      <c r="G41" s="78"/>
      <c r="H41" s="78"/>
      <c r="I41" s="78"/>
      <c r="J41" s="78"/>
      <c r="K41" s="77">
        <f>D41+E41+F41+G41+H41+I41+J41</f>
        <v>0</v>
      </c>
      <c r="L41" s="77">
        <f t="shared" si="2"/>
        <v>17245.8</v>
      </c>
      <c r="S41" s="77">
        <f>0</f>
        <v>0</v>
      </c>
      <c r="T41" s="77"/>
      <c r="U41" s="73"/>
      <c r="V41" s="73"/>
      <c r="W41" s="73"/>
      <c r="X41" s="73"/>
      <c r="Y41" s="73"/>
      <c r="Z41" s="73"/>
      <c r="AA41" s="77">
        <f>T41+U41+V41+W41+X41+Y41+Z41</f>
        <v>0</v>
      </c>
      <c r="AB41" s="77">
        <f>S41+AA41</f>
        <v>0</v>
      </c>
    </row>
    <row r="42" spans="1:28" ht="31.5">
      <c r="A42" s="59"/>
      <c r="B42" s="86" t="s">
        <v>14</v>
      </c>
      <c r="C42" s="77">
        <f>172.5</f>
        <v>172.5</v>
      </c>
      <c r="D42" s="78"/>
      <c r="E42" s="78"/>
      <c r="F42" s="78"/>
      <c r="G42" s="78"/>
      <c r="H42" s="78"/>
      <c r="I42" s="78"/>
      <c r="J42" s="78"/>
      <c r="K42" s="77">
        <f>0</f>
        <v>0</v>
      </c>
      <c r="L42" s="77">
        <f t="shared" si="2"/>
        <v>172.5</v>
      </c>
      <c r="S42" s="77">
        <f>2558.8</f>
        <v>2558.8</v>
      </c>
      <c r="T42" s="77">
        <f>0</f>
        <v>0</v>
      </c>
      <c r="U42" s="73"/>
      <c r="V42" s="73"/>
      <c r="W42" s="73"/>
      <c r="X42" s="73"/>
      <c r="Y42" s="73"/>
      <c r="Z42" s="73"/>
      <c r="AA42" s="77">
        <f aca="true" t="shared" si="21" ref="AA42:AA48">T42+U42+V42+W42+X42+Y42+Z42</f>
        <v>0</v>
      </c>
      <c r="AB42" s="77">
        <f>S42+AA42</f>
        <v>2558.8</v>
      </c>
    </row>
    <row r="43" spans="1:28" ht="25.5" customHeight="1">
      <c r="A43" s="59"/>
      <c r="B43" s="86" t="s">
        <v>100</v>
      </c>
      <c r="C43" s="77">
        <f>(22000+7883.8-412.9-172.5)</f>
        <v>29298.399999999998</v>
      </c>
      <c r="D43" s="78">
        <v>8504.5</v>
      </c>
      <c r="E43" s="78"/>
      <c r="F43" s="78"/>
      <c r="G43" s="78"/>
      <c r="H43" s="78"/>
      <c r="I43" s="78"/>
      <c r="J43" s="78"/>
      <c r="K43" s="77">
        <v>5833.9</v>
      </c>
      <c r="L43" s="77">
        <f t="shared" si="2"/>
        <v>35132.299999999996</v>
      </c>
      <c r="S43" s="77">
        <f>20519.8</f>
        <v>20519.8</v>
      </c>
      <c r="T43" s="77">
        <f>11159.3</f>
        <v>11159.3</v>
      </c>
      <c r="U43" s="73"/>
      <c r="V43" s="73"/>
      <c r="W43" s="73"/>
      <c r="X43" s="73"/>
      <c r="Y43" s="73"/>
      <c r="Z43" s="73"/>
      <c r="AA43" s="77">
        <f t="shared" si="21"/>
        <v>11159.3</v>
      </c>
      <c r="AB43" s="77">
        <f>S43+AA43</f>
        <v>31679.1</v>
      </c>
    </row>
    <row r="44" spans="1:28" ht="33" hidden="1">
      <c r="A44" s="80"/>
      <c r="B44" s="81" t="s">
        <v>260</v>
      </c>
      <c r="C44" s="89">
        <v>0</v>
      </c>
      <c r="D44" s="90"/>
      <c r="E44" s="90"/>
      <c r="F44" s="90"/>
      <c r="G44" s="90"/>
      <c r="H44" s="90"/>
      <c r="I44" s="90"/>
      <c r="J44" s="90"/>
      <c r="K44" s="89">
        <f>7883.8-7883.8</f>
        <v>0</v>
      </c>
      <c r="L44" s="89"/>
      <c r="S44" s="82">
        <v>0</v>
      </c>
      <c r="T44" s="82"/>
      <c r="U44" s="85">
        <f>1498.2-1498.2</f>
        <v>0</v>
      </c>
      <c r="V44" s="85">
        <f>1593.6-1593.6</f>
        <v>0</v>
      </c>
      <c r="W44" s="85">
        <f>634.1-634.1</f>
        <v>0</v>
      </c>
      <c r="X44" s="85">
        <f>1660.9-1660.9</f>
        <v>0</v>
      </c>
      <c r="Y44" s="85">
        <f>1559.9-1559.9</f>
        <v>0</v>
      </c>
      <c r="Z44" s="85">
        <f>937.1-937.1</f>
        <v>0</v>
      </c>
      <c r="AA44" s="77">
        <f t="shared" si="21"/>
        <v>0</v>
      </c>
      <c r="AB44" s="89"/>
    </row>
    <row r="45" spans="1:28" ht="16.5">
      <c r="A45" s="59" t="s">
        <v>105</v>
      </c>
      <c r="B45" s="63" t="s">
        <v>106</v>
      </c>
      <c r="C45" s="77">
        <f>C46+C47+C48</f>
        <v>100</v>
      </c>
      <c r="D45" s="78">
        <f aca="true" t="shared" si="22" ref="D45:J45">D46+D47+D48</f>
        <v>0</v>
      </c>
      <c r="E45" s="78">
        <f t="shared" si="22"/>
        <v>0</v>
      </c>
      <c r="F45" s="78">
        <f t="shared" si="22"/>
        <v>0</v>
      </c>
      <c r="G45" s="78">
        <f t="shared" si="22"/>
        <v>0</v>
      </c>
      <c r="H45" s="78">
        <f t="shared" si="22"/>
        <v>0</v>
      </c>
      <c r="I45" s="78">
        <f t="shared" si="22"/>
        <v>0</v>
      </c>
      <c r="J45" s="78">
        <f t="shared" si="22"/>
        <v>0</v>
      </c>
      <c r="K45" s="77">
        <f>K46+K47+K48</f>
        <v>0</v>
      </c>
      <c r="L45" s="77">
        <f>C45+K45-K45</f>
        <v>100</v>
      </c>
      <c r="S45" s="77">
        <f>S46+S47+S48</f>
        <v>715</v>
      </c>
      <c r="T45" s="77">
        <f aca="true" t="shared" si="23" ref="T45:Z45">T46+T47+T48</f>
        <v>0</v>
      </c>
      <c r="U45" s="73">
        <f t="shared" si="23"/>
        <v>30</v>
      </c>
      <c r="V45" s="73">
        <f t="shared" si="23"/>
        <v>0</v>
      </c>
      <c r="W45" s="73">
        <f t="shared" si="23"/>
        <v>0</v>
      </c>
      <c r="X45" s="73">
        <f t="shared" si="23"/>
        <v>21</v>
      </c>
      <c r="Y45" s="73">
        <f t="shared" si="23"/>
        <v>0</v>
      </c>
      <c r="Z45" s="73">
        <f t="shared" si="23"/>
        <v>50</v>
      </c>
      <c r="AA45" s="77">
        <f t="shared" si="21"/>
        <v>101</v>
      </c>
      <c r="AB45" s="77">
        <f>S45+AA45-AA45</f>
        <v>715</v>
      </c>
    </row>
    <row r="46" spans="1:28" ht="39" customHeight="1">
      <c r="A46" s="59"/>
      <c r="B46" s="63" t="s">
        <v>375</v>
      </c>
      <c r="C46" s="77">
        <v>100</v>
      </c>
      <c r="D46" s="78"/>
      <c r="E46" s="78"/>
      <c r="F46" s="78"/>
      <c r="G46" s="78"/>
      <c r="H46" s="78"/>
      <c r="I46" s="78"/>
      <c r="J46" s="78"/>
      <c r="K46" s="77">
        <v>0</v>
      </c>
      <c r="L46" s="77">
        <f t="shared" si="2"/>
        <v>100</v>
      </c>
      <c r="S46" s="77">
        <f>200</f>
        <v>200</v>
      </c>
      <c r="T46" s="77"/>
      <c r="U46" s="73">
        <f>30</f>
        <v>30</v>
      </c>
      <c r="V46" s="73"/>
      <c r="W46" s="73"/>
      <c r="X46" s="73">
        <f>21</f>
        <v>21</v>
      </c>
      <c r="Y46" s="73"/>
      <c r="Z46" s="73">
        <f>50</f>
        <v>50</v>
      </c>
      <c r="AA46" s="77">
        <f t="shared" si="21"/>
        <v>101</v>
      </c>
      <c r="AB46" s="77">
        <f>S46+AA46</f>
        <v>301</v>
      </c>
    </row>
    <row r="47" spans="1:28" ht="16.5" hidden="1">
      <c r="A47" s="80"/>
      <c r="B47" s="81" t="s">
        <v>72</v>
      </c>
      <c r="C47" s="77">
        <f>0</f>
        <v>0</v>
      </c>
      <c r="D47" s="78"/>
      <c r="E47" s="78"/>
      <c r="F47" s="78"/>
      <c r="G47" s="78"/>
      <c r="H47" s="78"/>
      <c r="I47" s="78"/>
      <c r="J47" s="78"/>
      <c r="K47" s="77"/>
      <c r="L47" s="82"/>
      <c r="S47" s="82">
        <f>0</f>
        <v>0</v>
      </c>
      <c r="T47" s="82"/>
      <c r="U47" s="85"/>
      <c r="V47" s="85"/>
      <c r="W47" s="85"/>
      <c r="X47" s="85"/>
      <c r="Y47" s="85"/>
      <c r="Z47" s="85"/>
      <c r="AA47" s="77">
        <f t="shared" si="21"/>
        <v>0</v>
      </c>
      <c r="AB47" s="82"/>
    </row>
    <row r="48" spans="1:28" ht="24" customHeight="1">
      <c r="A48" s="59"/>
      <c r="B48" s="63" t="s">
        <v>100</v>
      </c>
      <c r="C48" s="77">
        <v>0</v>
      </c>
      <c r="D48" s="78"/>
      <c r="E48" s="78"/>
      <c r="F48" s="78"/>
      <c r="G48" s="78"/>
      <c r="H48" s="78"/>
      <c r="I48" s="78"/>
      <c r="J48" s="78"/>
      <c r="K48" s="77">
        <f>D48+E48+F48+G48+H48+I48+J48</f>
        <v>0</v>
      </c>
      <c r="L48" s="77">
        <f t="shared" si="2"/>
        <v>0</v>
      </c>
      <c r="S48" s="77">
        <f>515</f>
        <v>515</v>
      </c>
      <c r="T48" s="77"/>
      <c r="U48" s="73"/>
      <c r="V48" s="73"/>
      <c r="W48" s="73"/>
      <c r="X48" s="73"/>
      <c r="Y48" s="73"/>
      <c r="Z48" s="73"/>
      <c r="AA48" s="77">
        <f t="shared" si="21"/>
        <v>0</v>
      </c>
      <c r="AB48" s="77">
        <f>S48+AA48</f>
        <v>515</v>
      </c>
    </row>
    <row r="49" spans="1:28" s="1" customFormat="1" ht="40.5" customHeight="1">
      <c r="A49" s="228" t="s">
        <v>107</v>
      </c>
      <c r="B49" s="229" t="s">
        <v>108</v>
      </c>
      <c r="C49" s="85">
        <f>C50+C53+C57</f>
        <v>2600</v>
      </c>
      <c r="D49" s="232">
        <f aca="true" t="shared" si="24" ref="D49:J49">D50+D53+D57</f>
        <v>21164.1</v>
      </c>
      <c r="E49" s="232">
        <f t="shared" si="24"/>
        <v>305</v>
      </c>
      <c r="F49" s="232">
        <f t="shared" si="24"/>
        <v>375</v>
      </c>
      <c r="G49" s="232">
        <f t="shared" si="24"/>
        <v>216</v>
      </c>
      <c r="H49" s="232">
        <f t="shared" si="24"/>
        <v>325</v>
      </c>
      <c r="I49" s="232">
        <f t="shared" si="24"/>
        <v>365</v>
      </c>
      <c r="J49" s="232">
        <f t="shared" si="24"/>
        <v>435</v>
      </c>
      <c r="K49" s="85">
        <f>K50+K53+K57</f>
        <v>33794.6</v>
      </c>
      <c r="L49" s="85">
        <f>C49+K49-K56</f>
        <v>33794.6</v>
      </c>
      <c r="M49" s="134"/>
      <c r="N49" s="134"/>
      <c r="O49" s="134"/>
      <c r="P49" s="134"/>
      <c r="Q49" s="134"/>
      <c r="R49" s="234"/>
      <c r="S49" s="85">
        <f>S50+S53+S57</f>
        <v>7500</v>
      </c>
      <c r="T49" s="85">
        <f aca="true" t="shared" si="25" ref="T49:Z49">T50+T53+T57</f>
        <v>32065</v>
      </c>
      <c r="U49" s="85">
        <f t="shared" si="25"/>
        <v>2703.6</v>
      </c>
      <c r="V49" s="85">
        <f t="shared" si="25"/>
        <v>2099</v>
      </c>
      <c r="W49" s="85">
        <f t="shared" si="25"/>
        <v>1778.4</v>
      </c>
      <c r="X49" s="85">
        <f t="shared" si="25"/>
        <v>2206.7</v>
      </c>
      <c r="Y49" s="85">
        <f t="shared" si="25"/>
        <v>1059.5</v>
      </c>
      <c r="Z49" s="85">
        <f t="shared" si="25"/>
        <v>1770.1</v>
      </c>
      <c r="AA49" s="85">
        <f>AA50+AA53+AA57</f>
        <v>43682.299999999996</v>
      </c>
      <c r="AB49" s="85">
        <f>S49+AA49-AA56</f>
        <v>44482.299999999996</v>
      </c>
    </row>
    <row r="50" spans="1:28" ht="21" customHeight="1">
      <c r="A50" s="59" t="s">
        <v>109</v>
      </c>
      <c r="B50" s="63" t="s">
        <v>110</v>
      </c>
      <c r="C50" s="77">
        <f>C51+C52</f>
        <v>0</v>
      </c>
      <c r="D50" s="78">
        <f aca="true" t="shared" si="26" ref="D50:J50">D51+D52</f>
        <v>1850</v>
      </c>
      <c r="E50" s="78">
        <f t="shared" si="26"/>
        <v>0</v>
      </c>
      <c r="F50" s="78">
        <f t="shared" si="26"/>
        <v>0</v>
      </c>
      <c r="G50" s="78">
        <f t="shared" si="26"/>
        <v>0</v>
      </c>
      <c r="H50" s="78">
        <f t="shared" si="26"/>
        <v>0</v>
      </c>
      <c r="I50" s="78">
        <f t="shared" si="26"/>
        <v>0</v>
      </c>
      <c r="J50" s="78">
        <f t="shared" si="26"/>
        <v>0</v>
      </c>
      <c r="K50" s="77">
        <f>K51+K52</f>
        <v>2804.6</v>
      </c>
      <c r="L50" s="77">
        <f t="shared" si="2"/>
        <v>2804.6</v>
      </c>
      <c r="S50" s="77">
        <f>S51+S52</f>
        <v>800</v>
      </c>
      <c r="T50" s="77">
        <f aca="true" t="shared" si="27" ref="T50:Z50">T51+T52</f>
        <v>3200</v>
      </c>
      <c r="U50" s="73">
        <f t="shared" si="27"/>
        <v>0</v>
      </c>
      <c r="V50" s="73">
        <f t="shared" si="27"/>
        <v>0</v>
      </c>
      <c r="W50" s="73">
        <f t="shared" si="27"/>
        <v>0</v>
      </c>
      <c r="X50" s="73">
        <f t="shared" si="27"/>
        <v>0</v>
      </c>
      <c r="Y50" s="73">
        <f t="shared" si="27"/>
        <v>0</v>
      </c>
      <c r="Z50" s="73">
        <f t="shared" si="27"/>
        <v>0</v>
      </c>
      <c r="AA50" s="77">
        <f>AA51+AA52</f>
        <v>3200</v>
      </c>
      <c r="AB50" s="77">
        <f>S50+AA50</f>
        <v>4000</v>
      </c>
    </row>
    <row r="51" spans="1:28" ht="33">
      <c r="A51" s="59"/>
      <c r="B51" s="63" t="s">
        <v>349</v>
      </c>
      <c r="C51" s="77">
        <v>0</v>
      </c>
      <c r="D51" s="78">
        <v>1850</v>
      </c>
      <c r="E51" s="78"/>
      <c r="F51" s="78"/>
      <c r="G51" s="78"/>
      <c r="H51" s="78"/>
      <c r="I51" s="78"/>
      <c r="J51" s="78"/>
      <c r="K51" s="77">
        <f>3000-195.4</f>
        <v>2804.6</v>
      </c>
      <c r="L51" s="77">
        <f t="shared" si="2"/>
        <v>2804.6</v>
      </c>
      <c r="S51" s="77">
        <f>800</f>
        <v>800</v>
      </c>
      <c r="T51" s="77">
        <f>2200+1000</f>
        <v>3200</v>
      </c>
      <c r="U51" s="73"/>
      <c r="V51" s="73"/>
      <c r="W51" s="73"/>
      <c r="X51" s="73"/>
      <c r="Y51" s="73"/>
      <c r="Z51" s="73"/>
      <c r="AA51" s="77">
        <f>T51+U51+V51+W51+X51+Y51+Z51</f>
        <v>3200</v>
      </c>
      <c r="AB51" s="77">
        <f>S51+AA51</f>
        <v>4000</v>
      </c>
    </row>
    <row r="52" spans="1:28" ht="16.5">
      <c r="A52" s="59"/>
      <c r="B52" s="63" t="s">
        <v>100</v>
      </c>
      <c r="C52" s="77">
        <v>0</v>
      </c>
      <c r="D52" s="78"/>
      <c r="E52" s="78"/>
      <c r="F52" s="78"/>
      <c r="G52" s="78"/>
      <c r="H52" s="78"/>
      <c r="I52" s="78"/>
      <c r="J52" s="78"/>
      <c r="K52" s="77">
        <f>D52+E52+F52+G52+H52+I52+J52</f>
        <v>0</v>
      </c>
      <c r="L52" s="77">
        <f t="shared" si="2"/>
        <v>0</v>
      </c>
      <c r="S52" s="77">
        <v>0</v>
      </c>
      <c r="T52" s="77">
        <f>0</f>
        <v>0</v>
      </c>
      <c r="U52" s="73"/>
      <c r="V52" s="73"/>
      <c r="W52" s="73"/>
      <c r="X52" s="73"/>
      <c r="Y52" s="73"/>
      <c r="Z52" s="73"/>
      <c r="AA52" s="77">
        <f>T52+U52+V52+W52+X52+Y52+Z52</f>
        <v>0</v>
      </c>
      <c r="AB52" s="77">
        <f>S52+AA52</f>
        <v>0</v>
      </c>
    </row>
    <row r="53" spans="1:28" ht="23.25" customHeight="1">
      <c r="A53" s="59" t="s">
        <v>112</v>
      </c>
      <c r="B53" s="63" t="s">
        <v>113</v>
      </c>
      <c r="C53" s="77">
        <f>C54+C55+C56</f>
        <v>2600</v>
      </c>
      <c r="D53" s="78">
        <f aca="true" t="shared" si="28" ref="D53:J53">D54+D55+D56</f>
        <v>0</v>
      </c>
      <c r="E53" s="78">
        <f t="shared" si="28"/>
        <v>0</v>
      </c>
      <c r="F53" s="78">
        <f t="shared" si="28"/>
        <v>0</v>
      </c>
      <c r="G53" s="78">
        <f t="shared" si="28"/>
        <v>0</v>
      </c>
      <c r="H53" s="78">
        <f t="shared" si="28"/>
        <v>0</v>
      </c>
      <c r="I53" s="78">
        <f t="shared" si="28"/>
        <v>0</v>
      </c>
      <c r="J53" s="78">
        <f t="shared" si="28"/>
        <v>0</v>
      </c>
      <c r="K53" s="77">
        <f>K54+K55+K56</f>
        <v>5200</v>
      </c>
      <c r="L53" s="77">
        <f>C53+K53-K56</f>
        <v>5200</v>
      </c>
      <c r="S53" s="77">
        <f>S54+S55+S56</f>
        <v>6700</v>
      </c>
      <c r="T53" s="77">
        <f aca="true" t="shared" si="29" ref="T53:Z53">T54+T55+T56</f>
        <v>0</v>
      </c>
      <c r="U53" s="73">
        <f t="shared" si="29"/>
        <v>1600</v>
      </c>
      <c r="V53" s="73">
        <f t="shared" si="29"/>
        <v>1200</v>
      </c>
      <c r="W53" s="73">
        <f t="shared" si="29"/>
        <v>1200</v>
      </c>
      <c r="X53" s="73">
        <f t="shared" si="29"/>
        <v>1300</v>
      </c>
      <c r="Y53" s="73">
        <f t="shared" si="29"/>
        <v>400</v>
      </c>
      <c r="Z53" s="73">
        <f t="shared" si="29"/>
        <v>1000</v>
      </c>
      <c r="AA53" s="77">
        <f>AA54+AA55+AA56</f>
        <v>6700</v>
      </c>
      <c r="AB53" s="77">
        <f>S53+AA53-AA56</f>
        <v>6700</v>
      </c>
    </row>
    <row r="54" spans="1:28" ht="16.5" hidden="1">
      <c r="A54" s="59"/>
      <c r="B54" s="63" t="s">
        <v>114</v>
      </c>
      <c r="C54" s="77">
        <f>0</f>
        <v>0</v>
      </c>
      <c r="D54" s="78"/>
      <c r="E54" s="78"/>
      <c r="F54" s="78"/>
      <c r="G54" s="78"/>
      <c r="H54" s="78"/>
      <c r="I54" s="78"/>
      <c r="J54" s="78"/>
      <c r="K54" s="77">
        <f>D54+E54+F54+G54+H54+I54+J54</f>
        <v>0</v>
      </c>
      <c r="L54" s="77">
        <f t="shared" si="2"/>
        <v>0</v>
      </c>
      <c r="S54" s="77">
        <f>0</f>
        <v>0</v>
      </c>
      <c r="T54" s="77"/>
      <c r="U54" s="73"/>
      <c r="V54" s="73"/>
      <c r="W54" s="73"/>
      <c r="X54" s="73"/>
      <c r="Y54" s="73"/>
      <c r="Z54" s="73"/>
      <c r="AA54" s="77">
        <f>T54+U54+V54+W54+X54+Y54+Z54</f>
        <v>0</v>
      </c>
      <c r="AB54" s="77">
        <f>S54+AA54</f>
        <v>0</v>
      </c>
    </row>
    <row r="55" spans="1:28" ht="27" customHeight="1">
      <c r="A55" s="59"/>
      <c r="B55" s="63" t="s">
        <v>100</v>
      </c>
      <c r="C55" s="77">
        <v>2600</v>
      </c>
      <c r="D55" s="78"/>
      <c r="E55" s="78"/>
      <c r="F55" s="78"/>
      <c r="G55" s="78"/>
      <c r="H55" s="78"/>
      <c r="I55" s="78"/>
      <c r="J55" s="78"/>
      <c r="K55" s="77">
        <v>2600</v>
      </c>
      <c r="L55" s="77">
        <f t="shared" si="2"/>
        <v>5200</v>
      </c>
      <c r="S55" s="77">
        <v>0</v>
      </c>
      <c r="T55" s="77">
        <f>0</f>
        <v>0</v>
      </c>
      <c r="U55" s="73"/>
      <c r="V55" s="73"/>
      <c r="W55" s="73"/>
      <c r="X55" s="73"/>
      <c r="Y55" s="73"/>
      <c r="Z55" s="73"/>
      <c r="AA55" s="77">
        <f>T55+U55+V55+W55+X55+Y55+Z55</f>
        <v>0</v>
      </c>
      <c r="AB55" s="77">
        <f>S55+AA55</f>
        <v>0</v>
      </c>
    </row>
    <row r="56" spans="1:28" ht="33">
      <c r="A56" s="80"/>
      <c r="B56" s="81" t="s">
        <v>263</v>
      </c>
      <c r="C56" s="82">
        <v>0</v>
      </c>
      <c r="D56" s="83"/>
      <c r="E56" s="83"/>
      <c r="F56" s="83"/>
      <c r="G56" s="83"/>
      <c r="H56" s="83"/>
      <c r="I56" s="83"/>
      <c r="J56" s="83"/>
      <c r="K56" s="82">
        <v>2600</v>
      </c>
      <c r="L56" s="82"/>
      <c r="S56" s="82">
        <f>6700</f>
        <v>6700</v>
      </c>
      <c r="T56" s="85">
        <v>0</v>
      </c>
      <c r="U56" s="85">
        <f>1600</f>
        <v>1600</v>
      </c>
      <c r="V56" s="85">
        <f>1200</f>
        <v>1200</v>
      </c>
      <c r="W56" s="85">
        <f>1200</f>
        <v>1200</v>
      </c>
      <c r="X56" s="85">
        <f>1300</f>
        <v>1300</v>
      </c>
      <c r="Y56" s="85">
        <f>400</f>
        <v>400</v>
      </c>
      <c r="Z56" s="85">
        <f>1000</f>
        <v>1000</v>
      </c>
      <c r="AA56" s="85">
        <f>SUM(T56:Z56)</f>
        <v>6700</v>
      </c>
      <c r="AB56" s="82"/>
    </row>
    <row r="57" spans="1:28" ht="18.75" customHeight="1">
      <c r="A57" s="59" t="s">
        <v>117</v>
      </c>
      <c r="B57" s="63" t="s">
        <v>264</v>
      </c>
      <c r="C57" s="77">
        <v>0</v>
      </c>
      <c r="D57" s="78">
        <f aca="true" t="shared" si="30" ref="D57:J57">D58+D59+D60+D61+D62+D63</f>
        <v>19314.1</v>
      </c>
      <c r="E57" s="78">
        <f t="shared" si="30"/>
        <v>305</v>
      </c>
      <c r="F57" s="78">
        <f t="shared" si="30"/>
        <v>375</v>
      </c>
      <c r="G57" s="78">
        <f t="shared" si="30"/>
        <v>216</v>
      </c>
      <c r="H57" s="78">
        <f t="shared" si="30"/>
        <v>325</v>
      </c>
      <c r="I57" s="78">
        <f t="shared" si="30"/>
        <v>365</v>
      </c>
      <c r="J57" s="78">
        <f t="shared" si="30"/>
        <v>435</v>
      </c>
      <c r="K57" s="77">
        <f>K58+K59+K60+K61+K62+K63</f>
        <v>25790</v>
      </c>
      <c r="L57" s="77">
        <f>C57+K57-K62</f>
        <v>25790</v>
      </c>
      <c r="S57" s="77">
        <v>0</v>
      </c>
      <c r="T57" s="77">
        <f aca="true" t="shared" si="31" ref="T57:Z57">T58+T59+T60+T61+T62+T63</f>
        <v>28865</v>
      </c>
      <c r="U57" s="73">
        <f t="shared" si="31"/>
        <v>1103.6</v>
      </c>
      <c r="V57" s="73">
        <f t="shared" si="31"/>
        <v>899</v>
      </c>
      <c r="W57" s="73">
        <f t="shared" si="31"/>
        <v>578.4</v>
      </c>
      <c r="X57" s="73">
        <f t="shared" si="31"/>
        <v>906.7</v>
      </c>
      <c r="Y57" s="73">
        <f t="shared" si="31"/>
        <v>659.5</v>
      </c>
      <c r="Z57" s="73">
        <f t="shared" si="31"/>
        <v>770.1</v>
      </c>
      <c r="AA57" s="77">
        <f>AA58+AA59+AA60+AA61+AA62+AA63</f>
        <v>33782.299999999996</v>
      </c>
      <c r="AB57" s="77">
        <f>S57+AA57-AA62</f>
        <v>33782.299999999996</v>
      </c>
    </row>
    <row r="58" spans="1:28" ht="16.5" hidden="1">
      <c r="A58" s="59"/>
      <c r="B58" s="63" t="s">
        <v>265</v>
      </c>
      <c r="C58" s="77">
        <v>0</v>
      </c>
      <c r="D58" s="78">
        <v>8014.1</v>
      </c>
      <c r="E58" s="78">
        <v>180</v>
      </c>
      <c r="F58" s="78">
        <v>250</v>
      </c>
      <c r="G58" s="78">
        <v>96</v>
      </c>
      <c r="H58" s="78">
        <v>200</v>
      </c>
      <c r="I58" s="78">
        <v>240</v>
      </c>
      <c r="J58" s="78">
        <v>310</v>
      </c>
      <c r="K58" s="77">
        <v>11675</v>
      </c>
      <c r="L58" s="77">
        <f t="shared" si="2"/>
        <v>11675</v>
      </c>
      <c r="S58" s="77">
        <v>0</v>
      </c>
      <c r="T58" s="77"/>
      <c r="U58" s="73"/>
      <c r="V58" s="73"/>
      <c r="W58" s="73"/>
      <c r="X58" s="73"/>
      <c r="Y58" s="73"/>
      <c r="Z58" s="73"/>
      <c r="AA58" s="77">
        <f>T58+U58+V58+W58+X58+Y58+Z58</f>
        <v>0</v>
      </c>
      <c r="AB58" s="77">
        <f>S58+AA58</f>
        <v>0</v>
      </c>
    </row>
    <row r="59" spans="1:28" ht="16.5" hidden="1">
      <c r="A59" s="59"/>
      <c r="B59" s="63" t="s">
        <v>120</v>
      </c>
      <c r="C59" s="77">
        <f>0</f>
        <v>0</v>
      </c>
      <c r="D59" s="78">
        <v>200</v>
      </c>
      <c r="E59" s="78">
        <v>25</v>
      </c>
      <c r="F59" s="78">
        <v>25</v>
      </c>
      <c r="G59" s="78">
        <v>20</v>
      </c>
      <c r="H59" s="78">
        <v>25</v>
      </c>
      <c r="I59" s="78">
        <v>25</v>
      </c>
      <c r="J59" s="78">
        <v>25</v>
      </c>
      <c r="K59" s="77">
        <v>65</v>
      </c>
      <c r="L59" s="77">
        <f t="shared" si="2"/>
        <v>65</v>
      </c>
      <c r="S59" s="77">
        <f>0</f>
        <v>0</v>
      </c>
      <c r="T59" s="77"/>
      <c r="U59" s="73"/>
      <c r="V59" s="73"/>
      <c r="W59" s="73"/>
      <c r="X59" s="73"/>
      <c r="Y59" s="73"/>
      <c r="Z59" s="73"/>
      <c r="AA59" s="77">
        <f aca="true" t="shared" si="32" ref="AA59:AA68">T59+U59+V59+W59+X59+Y59+Z59</f>
        <v>0</v>
      </c>
      <c r="AB59" s="77">
        <f>S59+AA59</f>
        <v>0</v>
      </c>
    </row>
    <row r="60" spans="1:28" ht="16.5" hidden="1">
      <c r="A60" s="59"/>
      <c r="B60" s="63" t="s">
        <v>121</v>
      </c>
      <c r="C60" s="77">
        <f>0</f>
        <v>0</v>
      </c>
      <c r="D60" s="78">
        <v>50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7">
        <v>60</v>
      </c>
      <c r="L60" s="77">
        <f t="shared" si="2"/>
        <v>60</v>
      </c>
      <c r="S60" s="77">
        <f>0</f>
        <v>0</v>
      </c>
      <c r="T60" s="77"/>
      <c r="U60" s="73"/>
      <c r="V60" s="73"/>
      <c r="W60" s="73"/>
      <c r="X60" s="73"/>
      <c r="Y60" s="73"/>
      <c r="Z60" s="73"/>
      <c r="AA60" s="77">
        <f t="shared" si="32"/>
        <v>0</v>
      </c>
      <c r="AB60" s="77">
        <f>S60+AA60</f>
        <v>0</v>
      </c>
    </row>
    <row r="61" spans="1:28" ht="16.5" hidden="1">
      <c r="A61" s="59"/>
      <c r="B61" s="63" t="s">
        <v>122</v>
      </c>
      <c r="C61" s="77">
        <f>0</f>
        <v>0</v>
      </c>
      <c r="D61" s="78">
        <v>11050</v>
      </c>
      <c r="E61" s="78">
        <v>100</v>
      </c>
      <c r="F61" s="78">
        <v>100</v>
      </c>
      <c r="G61" s="78">
        <v>100</v>
      </c>
      <c r="H61" s="78">
        <v>100</v>
      </c>
      <c r="I61" s="78">
        <v>100</v>
      </c>
      <c r="J61" s="78">
        <v>100</v>
      </c>
      <c r="K61" s="77">
        <v>12155</v>
      </c>
      <c r="L61" s="77">
        <f t="shared" si="2"/>
        <v>12155</v>
      </c>
      <c r="S61" s="77">
        <f>0</f>
        <v>0</v>
      </c>
      <c r="T61" s="77"/>
      <c r="U61" s="73"/>
      <c r="V61" s="73"/>
      <c r="W61" s="73"/>
      <c r="X61" s="73"/>
      <c r="Y61" s="73"/>
      <c r="Z61" s="73"/>
      <c r="AA61" s="77">
        <f t="shared" si="32"/>
        <v>0</v>
      </c>
      <c r="AB61" s="77">
        <f>S61+AA61</f>
        <v>0</v>
      </c>
    </row>
    <row r="62" spans="1:28" ht="33">
      <c r="A62" s="59"/>
      <c r="B62" s="81" t="s">
        <v>266</v>
      </c>
      <c r="C62" s="77"/>
      <c r="D62" s="78">
        <v>0</v>
      </c>
      <c r="E62" s="78"/>
      <c r="F62" s="78"/>
      <c r="G62" s="78"/>
      <c r="H62" s="78"/>
      <c r="I62" s="78"/>
      <c r="J62" s="78"/>
      <c r="K62" s="77">
        <v>0</v>
      </c>
      <c r="L62" s="82">
        <v>0</v>
      </c>
      <c r="S62" s="77"/>
      <c r="T62" s="82">
        <v>0</v>
      </c>
      <c r="U62" s="85"/>
      <c r="V62" s="85"/>
      <c r="W62" s="85"/>
      <c r="X62" s="85"/>
      <c r="Y62" s="85"/>
      <c r="Z62" s="85"/>
      <c r="AA62" s="77">
        <f>T62+U62+V62+W62+X62+Y62+Z62</f>
        <v>0</v>
      </c>
      <c r="AB62" s="82">
        <v>0</v>
      </c>
    </row>
    <row r="63" spans="1:28" ht="49.5">
      <c r="A63" s="59"/>
      <c r="B63" s="63" t="s">
        <v>384</v>
      </c>
      <c r="C63" s="77"/>
      <c r="D63" s="78"/>
      <c r="E63" s="78"/>
      <c r="F63" s="78"/>
      <c r="G63" s="78"/>
      <c r="H63" s="78"/>
      <c r="I63" s="78"/>
      <c r="J63" s="78"/>
      <c r="K63" s="77">
        <v>1835</v>
      </c>
      <c r="L63" s="77">
        <f t="shared" si="2"/>
        <v>1835</v>
      </c>
      <c r="S63" s="77"/>
      <c r="T63" s="239">
        <f aca="true" t="shared" si="33" ref="T63:Z63">T64+T65+T66</f>
        <v>28865</v>
      </c>
      <c r="U63" s="243">
        <f t="shared" si="33"/>
        <v>1103.6</v>
      </c>
      <c r="V63" s="243">
        <f t="shared" si="33"/>
        <v>899</v>
      </c>
      <c r="W63" s="243">
        <f t="shared" si="33"/>
        <v>578.4</v>
      </c>
      <c r="X63" s="243">
        <f t="shared" si="33"/>
        <v>906.7</v>
      </c>
      <c r="Y63" s="243">
        <f t="shared" si="33"/>
        <v>659.5</v>
      </c>
      <c r="Z63" s="243">
        <f t="shared" si="33"/>
        <v>770.1</v>
      </c>
      <c r="AA63" s="77">
        <f t="shared" si="32"/>
        <v>33782.299999999996</v>
      </c>
      <c r="AB63" s="77">
        <f>S63+AA63</f>
        <v>33782.299999999996</v>
      </c>
    </row>
    <row r="64" spans="1:28" ht="33">
      <c r="A64" s="59"/>
      <c r="B64" s="63" t="s">
        <v>385</v>
      </c>
      <c r="C64" s="77"/>
      <c r="D64" s="78"/>
      <c r="E64" s="78"/>
      <c r="F64" s="78"/>
      <c r="G64" s="78"/>
      <c r="H64" s="78"/>
      <c r="I64" s="78"/>
      <c r="J64" s="78"/>
      <c r="K64" s="77"/>
      <c r="L64" s="77"/>
      <c r="S64" s="77"/>
      <c r="T64" s="239">
        <f>6500</f>
        <v>6500</v>
      </c>
      <c r="U64" s="243">
        <f>400</f>
        <v>400</v>
      </c>
      <c r="V64" s="243">
        <f>421</f>
        <v>421</v>
      </c>
      <c r="W64" s="243">
        <f>180</f>
        <v>180</v>
      </c>
      <c r="X64" s="243">
        <f>435</f>
        <v>435</v>
      </c>
      <c r="Y64" s="243">
        <f>370</f>
        <v>370</v>
      </c>
      <c r="Z64" s="243">
        <f>435</f>
        <v>435</v>
      </c>
      <c r="AA64" s="77"/>
      <c r="AB64" s="77"/>
    </row>
    <row r="65" spans="1:28" ht="20.25" customHeight="1">
      <c r="A65" s="59"/>
      <c r="B65" s="63" t="s">
        <v>392</v>
      </c>
      <c r="C65" s="77"/>
      <c r="D65" s="78"/>
      <c r="E65" s="78"/>
      <c r="F65" s="78"/>
      <c r="G65" s="78"/>
      <c r="H65" s="78"/>
      <c r="I65" s="78"/>
      <c r="J65" s="78"/>
      <c r="K65" s="77"/>
      <c r="L65" s="77"/>
      <c r="S65" s="77"/>
      <c r="T65" s="239">
        <f>250</f>
        <v>250</v>
      </c>
      <c r="U65" s="243">
        <f>30</f>
        <v>30</v>
      </c>
      <c r="V65" s="243">
        <f>37</f>
        <v>37</v>
      </c>
      <c r="W65" s="243">
        <f>30</f>
        <v>30</v>
      </c>
      <c r="X65" s="243">
        <f>30</f>
        <v>30</v>
      </c>
      <c r="Y65" s="243">
        <f>10</f>
        <v>10</v>
      </c>
      <c r="Z65" s="243">
        <f>40</f>
        <v>40</v>
      </c>
      <c r="AA65" s="77"/>
      <c r="AB65" s="77"/>
    </row>
    <row r="66" spans="1:28" ht="21" customHeight="1">
      <c r="A66" s="59"/>
      <c r="B66" s="63" t="s">
        <v>122</v>
      </c>
      <c r="C66" s="77"/>
      <c r="D66" s="78"/>
      <c r="E66" s="78"/>
      <c r="F66" s="78"/>
      <c r="G66" s="78"/>
      <c r="H66" s="78"/>
      <c r="I66" s="78"/>
      <c r="J66" s="78"/>
      <c r="K66" s="77"/>
      <c r="L66" s="77"/>
      <c r="S66" s="77"/>
      <c r="T66" s="239">
        <f>22115</f>
        <v>22115</v>
      </c>
      <c r="U66" s="243">
        <f>673.6</f>
        <v>673.6</v>
      </c>
      <c r="V66" s="243">
        <f>441</f>
        <v>441</v>
      </c>
      <c r="W66" s="243">
        <f>368.4</f>
        <v>368.4</v>
      </c>
      <c r="X66" s="243">
        <f>441.7</f>
        <v>441.7</v>
      </c>
      <c r="Y66" s="243">
        <f>279.6-0.1</f>
        <v>279.5</v>
      </c>
      <c r="Z66" s="243">
        <f>295.1</f>
        <v>295.1</v>
      </c>
      <c r="AA66" s="77"/>
      <c r="AB66" s="77"/>
    </row>
    <row r="67" spans="1:28" s="1" customFormat="1" ht="16.5">
      <c r="A67" s="228" t="s">
        <v>125</v>
      </c>
      <c r="B67" s="229" t="s">
        <v>126</v>
      </c>
      <c r="C67" s="85">
        <f>C68</f>
        <v>0</v>
      </c>
      <c r="D67" s="232">
        <f aca="true" t="shared" si="34" ref="D67:J67">D68</f>
        <v>0</v>
      </c>
      <c r="E67" s="232">
        <f t="shared" si="34"/>
        <v>2.2</v>
      </c>
      <c r="F67" s="232">
        <f t="shared" si="34"/>
        <v>1</v>
      </c>
      <c r="G67" s="232">
        <f t="shared" si="34"/>
        <v>1</v>
      </c>
      <c r="H67" s="232">
        <f t="shared" si="34"/>
        <v>1</v>
      </c>
      <c r="I67" s="232">
        <f t="shared" si="34"/>
        <v>1</v>
      </c>
      <c r="J67" s="232">
        <f t="shared" si="34"/>
        <v>1</v>
      </c>
      <c r="K67" s="85">
        <f>K68</f>
        <v>0</v>
      </c>
      <c r="L67" s="85">
        <f t="shared" si="2"/>
        <v>0</v>
      </c>
      <c r="M67" s="134"/>
      <c r="N67" s="134"/>
      <c r="O67" s="134"/>
      <c r="P67" s="134"/>
      <c r="Q67" s="134"/>
      <c r="R67" s="233"/>
      <c r="S67" s="85">
        <f>S68</f>
        <v>0</v>
      </c>
      <c r="T67" s="85">
        <f aca="true" t="shared" si="35" ref="T67:Z67">T68</f>
        <v>0</v>
      </c>
      <c r="U67" s="85">
        <f t="shared" si="35"/>
        <v>3.8</v>
      </c>
      <c r="V67" s="85">
        <f t="shared" si="35"/>
        <v>1.5</v>
      </c>
      <c r="W67" s="85">
        <f t="shared" si="35"/>
        <v>3.1</v>
      </c>
      <c r="X67" s="85">
        <f t="shared" si="35"/>
        <v>6.4</v>
      </c>
      <c r="Y67" s="85">
        <f t="shared" si="35"/>
        <v>1.6</v>
      </c>
      <c r="Z67" s="85">
        <f t="shared" si="35"/>
        <v>3.2</v>
      </c>
      <c r="AA67" s="85">
        <f>AA68</f>
        <v>19.6</v>
      </c>
      <c r="AB67" s="85">
        <f>S67+AA67</f>
        <v>19.6</v>
      </c>
    </row>
    <row r="68" spans="1:28" ht="33">
      <c r="A68" s="59" t="s">
        <v>127</v>
      </c>
      <c r="B68" s="63" t="s">
        <v>128</v>
      </c>
      <c r="C68" s="77">
        <f>0</f>
        <v>0</v>
      </c>
      <c r="D68" s="78"/>
      <c r="E68" s="78">
        <v>2.2</v>
      </c>
      <c r="F68" s="78">
        <v>1</v>
      </c>
      <c r="G68" s="78">
        <v>1</v>
      </c>
      <c r="H68" s="78">
        <v>1</v>
      </c>
      <c r="I68" s="78">
        <v>1</v>
      </c>
      <c r="J68" s="78">
        <v>1</v>
      </c>
      <c r="K68" s="77">
        <v>0</v>
      </c>
      <c r="L68" s="77">
        <f t="shared" si="2"/>
        <v>0</v>
      </c>
      <c r="S68" s="77">
        <f>0</f>
        <v>0</v>
      </c>
      <c r="T68" s="77">
        <f>0</f>
        <v>0</v>
      </c>
      <c r="U68" s="73">
        <f>3.8</f>
        <v>3.8</v>
      </c>
      <c r="V68" s="73">
        <f>1.5</f>
        <v>1.5</v>
      </c>
      <c r="W68" s="73">
        <f>3.1</f>
        <v>3.1</v>
      </c>
      <c r="X68" s="73">
        <f>6.4</f>
        <v>6.4</v>
      </c>
      <c r="Y68" s="73">
        <f>1.6</f>
        <v>1.6</v>
      </c>
      <c r="Z68" s="73">
        <f>3.2</f>
        <v>3.2</v>
      </c>
      <c r="AA68" s="77">
        <f t="shared" si="32"/>
        <v>19.6</v>
      </c>
      <c r="AB68" s="77">
        <f>S68+AA68</f>
        <v>19.6</v>
      </c>
    </row>
    <row r="69" spans="1:28" s="1" customFormat="1" ht="16.5">
      <c r="A69" s="228" t="s">
        <v>129</v>
      </c>
      <c r="B69" s="229" t="s">
        <v>268</v>
      </c>
      <c r="C69" s="85">
        <f>C70+C71+C79+C83+C89</f>
        <v>447747.49999999994</v>
      </c>
      <c r="D69" s="232">
        <f aca="true" t="shared" si="36" ref="D69:J69">D70+D71+D79+D83+D89</f>
        <v>3730.1</v>
      </c>
      <c r="E69" s="232">
        <f t="shared" si="36"/>
        <v>3</v>
      </c>
      <c r="F69" s="232">
        <f t="shared" si="36"/>
        <v>3</v>
      </c>
      <c r="G69" s="232">
        <f t="shared" si="36"/>
        <v>3</v>
      </c>
      <c r="H69" s="232">
        <f t="shared" si="36"/>
        <v>3</v>
      </c>
      <c r="I69" s="232">
        <f t="shared" si="36"/>
        <v>3</v>
      </c>
      <c r="J69" s="232">
        <f t="shared" si="36"/>
        <v>3</v>
      </c>
      <c r="K69" s="85">
        <f>K70+K71+K79+K83+K89</f>
        <v>3748.3</v>
      </c>
      <c r="L69" s="85">
        <f>C69+K69-K78-K87</f>
        <v>451495.79999999993</v>
      </c>
      <c r="M69" s="134"/>
      <c r="N69" s="134"/>
      <c r="O69" s="134"/>
      <c r="P69" s="134"/>
      <c r="Q69" s="134"/>
      <c r="R69" s="233"/>
      <c r="S69" s="85">
        <f>S70+S71+S74+S79+S83+S89</f>
        <v>469378.1</v>
      </c>
      <c r="T69" s="85">
        <f aca="true" t="shared" si="37" ref="T69:AB69">T70+T71+T74+T79+T83+T89</f>
        <v>0</v>
      </c>
      <c r="U69" s="85">
        <f t="shared" si="37"/>
        <v>0</v>
      </c>
      <c r="V69" s="85">
        <f t="shared" si="37"/>
        <v>0</v>
      </c>
      <c r="W69" s="85">
        <f t="shared" si="37"/>
        <v>0</v>
      </c>
      <c r="X69" s="85">
        <f t="shared" si="37"/>
        <v>0</v>
      </c>
      <c r="Y69" s="85">
        <f t="shared" si="37"/>
        <v>0</v>
      </c>
      <c r="Z69" s="85">
        <f t="shared" si="37"/>
        <v>0</v>
      </c>
      <c r="AA69" s="85">
        <f t="shared" si="37"/>
        <v>0</v>
      </c>
      <c r="AB69" s="85">
        <f t="shared" si="37"/>
        <v>457765.69999999995</v>
      </c>
    </row>
    <row r="70" spans="1:28" ht="33">
      <c r="A70" s="59" t="s">
        <v>134</v>
      </c>
      <c r="B70" s="91" t="s">
        <v>269</v>
      </c>
      <c r="C70" s="77">
        <v>125615</v>
      </c>
      <c r="D70" s="78"/>
      <c r="E70" s="78"/>
      <c r="F70" s="78"/>
      <c r="G70" s="78"/>
      <c r="H70" s="78"/>
      <c r="I70" s="78"/>
      <c r="J70" s="78"/>
      <c r="K70" s="77">
        <f>D70+E70+F70+G70+H70+I70+J70</f>
        <v>0</v>
      </c>
      <c r="L70" s="77">
        <f t="shared" si="2"/>
        <v>125615</v>
      </c>
      <c r="M70" s="3">
        <f>200+165</f>
        <v>365</v>
      </c>
      <c r="N70" s="3" t="s">
        <v>270</v>
      </c>
      <c r="O70" s="3">
        <v>931.3</v>
      </c>
      <c r="P70" s="3" t="s">
        <v>271</v>
      </c>
      <c r="S70" s="77">
        <f>146460.8</f>
        <v>146460.8</v>
      </c>
      <c r="T70" s="77"/>
      <c r="U70" s="73"/>
      <c r="V70" s="73"/>
      <c r="W70" s="73"/>
      <c r="X70" s="73"/>
      <c r="Y70" s="73"/>
      <c r="Z70" s="73"/>
      <c r="AA70" s="77">
        <f aca="true" t="shared" si="38" ref="AA70:AA77">T70+U70+V70+W70+X70+Y70+Z70</f>
        <v>0</v>
      </c>
      <c r="AB70" s="77">
        <f>S70+AA70</f>
        <v>146460.8</v>
      </c>
    </row>
    <row r="71" spans="1:28" ht="16.5">
      <c r="A71" s="59" t="s">
        <v>135</v>
      </c>
      <c r="B71" s="63" t="s">
        <v>352</v>
      </c>
      <c r="C71" s="77">
        <f>C73+C76+C77+C78</f>
        <v>297623.1</v>
      </c>
      <c r="D71" s="78">
        <f aca="true" t="shared" si="39" ref="D71:J71">D73+D76+D77+D78</f>
        <v>3730.1</v>
      </c>
      <c r="E71" s="78">
        <f t="shared" si="39"/>
        <v>0</v>
      </c>
      <c r="F71" s="78">
        <f t="shared" si="39"/>
        <v>0</v>
      </c>
      <c r="G71" s="78">
        <f t="shared" si="39"/>
        <v>0</v>
      </c>
      <c r="H71" s="78">
        <f t="shared" si="39"/>
        <v>0</v>
      </c>
      <c r="I71" s="78">
        <f t="shared" si="39"/>
        <v>0</v>
      </c>
      <c r="J71" s="78">
        <f t="shared" si="39"/>
        <v>0</v>
      </c>
      <c r="K71" s="77">
        <f>K73+K76+K77+K78</f>
        <v>3748.3</v>
      </c>
      <c r="L71" s="77">
        <f>C71+K71-K78</f>
        <v>301371.39999999997</v>
      </c>
      <c r="S71" s="77">
        <f>S73</f>
        <v>272160.6</v>
      </c>
      <c r="T71" s="77">
        <f aca="true" t="shared" si="40" ref="T71:AB71">T73</f>
        <v>0</v>
      </c>
      <c r="U71" s="77">
        <f t="shared" si="40"/>
        <v>0</v>
      </c>
      <c r="V71" s="77">
        <f t="shared" si="40"/>
        <v>0</v>
      </c>
      <c r="W71" s="77">
        <f t="shared" si="40"/>
        <v>0</v>
      </c>
      <c r="X71" s="77">
        <f t="shared" si="40"/>
        <v>0</v>
      </c>
      <c r="Y71" s="77">
        <f t="shared" si="40"/>
        <v>0</v>
      </c>
      <c r="Z71" s="77">
        <f t="shared" si="40"/>
        <v>0</v>
      </c>
      <c r="AA71" s="78">
        <f t="shared" si="40"/>
        <v>0</v>
      </c>
      <c r="AB71" s="78">
        <f t="shared" si="40"/>
        <v>272160.6</v>
      </c>
    </row>
    <row r="72" spans="1:28" ht="16.5" hidden="1">
      <c r="A72" s="59"/>
      <c r="B72" s="63" t="s">
        <v>136</v>
      </c>
      <c r="C72" s="77"/>
      <c r="D72" s="78"/>
      <c r="E72" s="78"/>
      <c r="F72" s="78"/>
      <c r="G72" s="78"/>
      <c r="H72" s="78"/>
      <c r="I72" s="78"/>
      <c r="J72" s="78"/>
      <c r="K72" s="77"/>
      <c r="L72" s="77">
        <f t="shared" si="2"/>
        <v>0</v>
      </c>
      <c r="S72" s="77"/>
      <c r="T72" s="77"/>
      <c r="U72" s="73"/>
      <c r="V72" s="73"/>
      <c r="W72" s="73"/>
      <c r="X72" s="73"/>
      <c r="Y72" s="73"/>
      <c r="Z72" s="73"/>
      <c r="AA72" s="77">
        <f t="shared" si="38"/>
        <v>0</v>
      </c>
      <c r="AB72" s="77">
        <f>S72+AA72</f>
        <v>0</v>
      </c>
    </row>
    <row r="73" spans="1:28" ht="33">
      <c r="A73" s="59"/>
      <c r="B73" s="63" t="s">
        <v>272</v>
      </c>
      <c r="C73" s="77">
        <v>288151.1</v>
      </c>
      <c r="D73" s="78"/>
      <c r="E73" s="78"/>
      <c r="F73" s="78"/>
      <c r="G73" s="78"/>
      <c r="H73" s="78"/>
      <c r="I73" s="78"/>
      <c r="J73" s="78"/>
      <c r="K73" s="77">
        <f>D73+E73+F73+G73+H73+I73+J73</f>
        <v>0</v>
      </c>
      <c r="L73" s="77">
        <f t="shared" si="2"/>
        <v>288151.1</v>
      </c>
      <c r="M73" s="3">
        <f>480+1050</f>
        <v>1530</v>
      </c>
      <c r="N73" s="3" t="s">
        <v>270</v>
      </c>
      <c r="O73" s="3">
        <v>370</v>
      </c>
      <c r="P73" s="3" t="s">
        <v>271</v>
      </c>
      <c r="S73" s="77">
        <f>272160.6</f>
        <v>272160.6</v>
      </c>
      <c r="T73" s="77"/>
      <c r="U73" s="73"/>
      <c r="V73" s="73"/>
      <c r="W73" s="73"/>
      <c r="X73" s="73"/>
      <c r="Y73" s="73"/>
      <c r="Z73" s="73"/>
      <c r="AA73" s="77">
        <f t="shared" si="38"/>
        <v>0</v>
      </c>
      <c r="AB73" s="77">
        <f>S73+AA73</f>
        <v>272160.6</v>
      </c>
    </row>
    <row r="74" spans="1:28" ht="33">
      <c r="A74" s="59" t="s">
        <v>320</v>
      </c>
      <c r="B74" s="63" t="s">
        <v>354</v>
      </c>
      <c r="C74" s="77"/>
      <c r="D74" s="78"/>
      <c r="E74" s="78"/>
      <c r="F74" s="78"/>
      <c r="G74" s="78"/>
      <c r="H74" s="78"/>
      <c r="I74" s="78"/>
      <c r="J74" s="78"/>
      <c r="K74" s="77"/>
      <c r="L74" s="77"/>
      <c r="S74" s="77">
        <f>S75+S76+S77</f>
        <v>22921.4</v>
      </c>
      <c r="T74" s="77">
        <f aca="true" t="shared" si="41" ref="T74:AB74">T75+T76+T77</f>
        <v>0</v>
      </c>
      <c r="U74" s="77">
        <f t="shared" si="41"/>
        <v>0</v>
      </c>
      <c r="V74" s="77">
        <f t="shared" si="41"/>
        <v>0</v>
      </c>
      <c r="W74" s="77">
        <f t="shared" si="41"/>
        <v>0</v>
      </c>
      <c r="X74" s="77">
        <f t="shared" si="41"/>
        <v>0</v>
      </c>
      <c r="Y74" s="77">
        <f t="shared" si="41"/>
        <v>0</v>
      </c>
      <c r="Z74" s="77">
        <f t="shared" si="41"/>
        <v>0</v>
      </c>
      <c r="AA74" s="77">
        <f t="shared" si="41"/>
        <v>0</v>
      </c>
      <c r="AB74" s="77">
        <f t="shared" si="41"/>
        <v>11309</v>
      </c>
    </row>
    <row r="75" spans="1:28" ht="26.25" customHeight="1">
      <c r="A75" s="59"/>
      <c r="B75" s="63" t="s">
        <v>141</v>
      </c>
      <c r="C75" s="77"/>
      <c r="D75" s="78"/>
      <c r="E75" s="78"/>
      <c r="F75" s="78"/>
      <c r="G75" s="78"/>
      <c r="H75" s="78"/>
      <c r="I75" s="78"/>
      <c r="J75" s="78"/>
      <c r="K75" s="77"/>
      <c r="L75" s="77"/>
      <c r="S75" s="77">
        <f>11612.4</f>
        <v>11612.4</v>
      </c>
      <c r="T75" s="77"/>
      <c r="U75" s="77"/>
      <c r="V75" s="77"/>
      <c r="W75" s="77"/>
      <c r="X75" s="77"/>
      <c r="Y75" s="77"/>
      <c r="Z75" s="77"/>
      <c r="AA75" s="77"/>
      <c r="AB75" s="77"/>
    </row>
    <row r="76" spans="1:28" ht="25.5" customHeight="1">
      <c r="A76" s="59"/>
      <c r="B76" s="63" t="s">
        <v>137</v>
      </c>
      <c r="C76" s="77">
        <v>0</v>
      </c>
      <c r="D76" s="78">
        <v>3730.1</v>
      </c>
      <c r="E76" s="78"/>
      <c r="F76" s="78"/>
      <c r="G76" s="78"/>
      <c r="H76" s="78"/>
      <c r="I76" s="78"/>
      <c r="J76" s="78"/>
      <c r="K76" s="77">
        <v>3748.3</v>
      </c>
      <c r="L76" s="77">
        <f t="shared" si="2"/>
        <v>3748.3</v>
      </c>
      <c r="S76" s="77">
        <f>0</f>
        <v>0</v>
      </c>
      <c r="T76" s="77">
        <f>0</f>
        <v>0</v>
      </c>
      <c r="U76" s="73"/>
      <c r="V76" s="73"/>
      <c r="W76" s="73"/>
      <c r="X76" s="73"/>
      <c r="Y76" s="73"/>
      <c r="Z76" s="73"/>
      <c r="AA76" s="77">
        <f t="shared" si="38"/>
        <v>0</v>
      </c>
      <c r="AB76" s="77">
        <f>S76+AA76</f>
        <v>0</v>
      </c>
    </row>
    <row r="77" spans="1:28" ht="22.5" customHeight="1">
      <c r="A77" s="59"/>
      <c r="B77" s="63" t="s">
        <v>273</v>
      </c>
      <c r="C77" s="77">
        <v>9472</v>
      </c>
      <c r="D77" s="78"/>
      <c r="E77" s="78"/>
      <c r="F77" s="78"/>
      <c r="G77" s="78"/>
      <c r="H77" s="78"/>
      <c r="I77" s="78"/>
      <c r="J77" s="78"/>
      <c r="K77" s="77">
        <f>D77+E77+F77+G77+H77+I77+J77</f>
        <v>0</v>
      </c>
      <c r="L77" s="77">
        <f t="shared" si="2"/>
        <v>9472</v>
      </c>
      <c r="S77" s="77">
        <f>11309</f>
        <v>11309</v>
      </c>
      <c r="T77" s="77"/>
      <c r="U77" s="73"/>
      <c r="V77" s="73"/>
      <c r="W77" s="73"/>
      <c r="X77" s="73"/>
      <c r="Y77" s="73"/>
      <c r="Z77" s="73"/>
      <c r="AA77" s="77">
        <f t="shared" si="38"/>
        <v>0</v>
      </c>
      <c r="AB77" s="77">
        <f>S77+AA77</f>
        <v>11309</v>
      </c>
    </row>
    <row r="78" spans="1:28" ht="16.5" hidden="1">
      <c r="A78" s="59"/>
      <c r="B78" s="63" t="s">
        <v>72</v>
      </c>
      <c r="C78" s="77">
        <v>0</v>
      </c>
      <c r="D78" s="78"/>
      <c r="E78" s="78"/>
      <c r="F78" s="78"/>
      <c r="G78" s="78"/>
      <c r="H78" s="78"/>
      <c r="I78" s="78"/>
      <c r="J78" s="78"/>
      <c r="K78" s="77"/>
      <c r="L78" s="77"/>
      <c r="S78" s="77">
        <v>0</v>
      </c>
      <c r="T78" s="77"/>
      <c r="U78" s="73"/>
      <c r="V78" s="73"/>
      <c r="W78" s="73"/>
      <c r="X78" s="73"/>
      <c r="Y78" s="73"/>
      <c r="Z78" s="73"/>
      <c r="AA78" s="77"/>
      <c r="AB78" s="77"/>
    </row>
    <row r="79" spans="1:28" ht="16.5" hidden="1">
      <c r="A79" s="59" t="s">
        <v>139</v>
      </c>
      <c r="B79" s="63" t="s">
        <v>140</v>
      </c>
      <c r="C79" s="77">
        <f>C81+C82</f>
        <v>0</v>
      </c>
      <c r="D79" s="78"/>
      <c r="E79" s="78"/>
      <c r="F79" s="78"/>
      <c r="G79" s="78"/>
      <c r="H79" s="78"/>
      <c r="I79" s="78"/>
      <c r="J79" s="78"/>
      <c r="K79" s="77">
        <f>K81+K82</f>
        <v>0</v>
      </c>
      <c r="L79" s="77">
        <f t="shared" si="2"/>
        <v>0</v>
      </c>
      <c r="S79" s="77">
        <f>S81+S82</f>
        <v>0</v>
      </c>
      <c r="T79" s="77"/>
      <c r="U79" s="73"/>
      <c r="V79" s="73"/>
      <c r="W79" s="73"/>
      <c r="X79" s="73"/>
      <c r="Y79" s="73"/>
      <c r="Z79" s="73"/>
      <c r="AA79" s="77">
        <f>AA81+AA82</f>
        <v>0</v>
      </c>
      <c r="AB79" s="77">
        <f>S79+AA79</f>
        <v>0</v>
      </c>
    </row>
    <row r="80" spans="1:28" ht="16.5" hidden="1">
      <c r="A80" s="59"/>
      <c r="B80" s="63" t="s">
        <v>136</v>
      </c>
      <c r="C80" s="77"/>
      <c r="D80" s="78"/>
      <c r="E80" s="78"/>
      <c r="F80" s="78"/>
      <c r="G80" s="78"/>
      <c r="H80" s="78"/>
      <c r="I80" s="78"/>
      <c r="J80" s="78"/>
      <c r="K80" s="77"/>
      <c r="L80" s="77">
        <f t="shared" si="2"/>
        <v>0</v>
      </c>
      <c r="S80" s="77"/>
      <c r="T80" s="77"/>
      <c r="U80" s="73"/>
      <c r="V80" s="73"/>
      <c r="W80" s="73"/>
      <c r="X80" s="73"/>
      <c r="Y80" s="73"/>
      <c r="Z80" s="73"/>
      <c r="AA80" s="77"/>
      <c r="AB80" s="77">
        <f>S80+AA80</f>
        <v>0</v>
      </c>
    </row>
    <row r="81" spans="1:28" ht="16.5" hidden="1">
      <c r="A81" s="59"/>
      <c r="B81" s="63" t="s">
        <v>141</v>
      </c>
      <c r="C81" s="77">
        <f>0</f>
        <v>0</v>
      </c>
      <c r="D81" s="78"/>
      <c r="E81" s="78"/>
      <c r="F81" s="78"/>
      <c r="G81" s="78"/>
      <c r="H81" s="78"/>
      <c r="I81" s="78"/>
      <c r="J81" s="78"/>
      <c r="K81" s="77">
        <v>0</v>
      </c>
      <c r="L81" s="77">
        <f t="shared" si="2"/>
        <v>0</v>
      </c>
      <c r="S81" s="77">
        <f>0</f>
        <v>0</v>
      </c>
      <c r="T81" s="77"/>
      <c r="U81" s="73"/>
      <c r="V81" s="73"/>
      <c r="W81" s="73"/>
      <c r="X81" s="73"/>
      <c r="Y81" s="73"/>
      <c r="Z81" s="73"/>
      <c r="AA81" s="77">
        <v>0</v>
      </c>
      <c r="AB81" s="77">
        <f>S81+AA81</f>
        <v>0</v>
      </c>
    </row>
    <row r="82" spans="1:28" ht="16.5" hidden="1">
      <c r="A82" s="59"/>
      <c r="B82" s="63" t="s">
        <v>142</v>
      </c>
      <c r="C82" s="77">
        <f>0</f>
        <v>0</v>
      </c>
      <c r="D82" s="78"/>
      <c r="E82" s="78"/>
      <c r="F82" s="78"/>
      <c r="G82" s="78"/>
      <c r="H82" s="78"/>
      <c r="I82" s="78"/>
      <c r="J82" s="78"/>
      <c r="K82" s="77">
        <v>0</v>
      </c>
      <c r="L82" s="77">
        <f t="shared" si="2"/>
        <v>0</v>
      </c>
      <c r="S82" s="77">
        <f>0</f>
        <v>0</v>
      </c>
      <c r="T82" s="77"/>
      <c r="U82" s="73"/>
      <c r="V82" s="73"/>
      <c r="W82" s="73"/>
      <c r="X82" s="73"/>
      <c r="Y82" s="73"/>
      <c r="Z82" s="73"/>
      <c r="AA82" s="77">
        <v>0</v>
      </c>
      <c r="AB82" s="77">
        <f>S82+AA82</f>
        <v>0</v>
      </c>
    </row>
    <row r="83" spans="1:28" ht="38.25" customHeight="1">
      <c r="A83" s="59" t="s">
        <v>143</v>
      </c>
      <c r="B83" s="63" t="s">
        <v>376</v>
      </c>
      <c r="C83" s="77">
        <f>C85+C86+C87+C88</f>
        <v>4161.1</v>
      </c>
      <c r="D83" s="78">
        <f aca="true" t="shared" si="42" ref="D83:J83">D85+D86+D87+D88</f>
        <v>0</v>
      </c>
      <c r="E83" s="78">
        <f t="shared" si="42"/>
        <v>3</v>
      </c>
      <c r="F83" s="78">
        <f t="shared" si="42"/>
        <v>3</v>
      </c>
      <c r="G83" s="78">
        <f t="shared" si="42"/>
        <v>3</v>
      </c>
      <c r="H83" s="78">
        <f t="shared" si="42"/>
        <v>3</v>
      </c>
      <c r="I83" s="78">
        <f t="shared" si="42"/>
        <v>3</v>
      </c>
      <c r="J83" s="78">
        <f t="shared" si="42"/>
        <v>3</v>
      </c>
      <c r="K83" s="77">
        <f>K85+K86+K87+K88</f>
        <v>0</v>
      </c>
      <c r="L83" s="77">
        <f>C83+K83-K87</f>
        <v>4161.1</v>
      </c>
      <c r="S83" s="77">
        <f>S85+S86+S87+S88</f>
        <v>3909.3</v>
      </c>
      <c r="T83" s="77">
        <f aca="true" t="shared" si="43" ref="T83:Z83">T85+T86+T87+T88</f>
        <v>0</v>
      </c>
      <c r="U83" s="73">
        <f t="shared" si="43"/>
        <v>0</v>
      </c>
      <c r="V83" s="73">
        <f t="shared" si="43"/>
        <v>0</v>
      </c>
      <c r="W83" s="73">
        <f t="shared" si="43"/>
        <v>0</v>
      </c>
      <c r="X83" s="73">
        <f t="shared" si="43"/>
        <v>0</v>
      </c>
      <c r="Y83" s="73">
        <f t="shared" si="43"/>
        <v>0</v>
      </c>
      <c r="Z83" s="73">
        <f t="shared" si="43"/>
        <v>0</v>
      </c>
      <c r="AA83" s="77">
        <f>AA85+AA86+AA87+AA88</f>
        <v>0</v>
      </c>
      <c r="AB83" s="77">
        <f>S83+AA83-AA87</f>
        <v>3909.3</v>
      </c>
    </row>
    <row r="84" spans="1:28" ht="16.5" hidden="1">
      <c r="A84" s="59"/>
      <c r="B84" s="63" t="s">
        <v>136</v>
      </c>
      <c r="C84" s="77"/>
      <c r="D84" s="78"/>
      <c r="E84" s="78"/>
      <c r="F84" s="78"/>
      <c r="G84" s="78"/>
      <c r="H84" s="78"/>
      <c r="I84" s="78"/>
      <c r="J84" s="78"/>
      <c r="K84" s="77"/>
      <c r="L84" s="77">
        <f aca="true" t="shared" si="44" ref="L84:L147">C84+K84</f>
        <v>0</v>
      </c>
      <c r="S84" s="77"/>
      <c r="T84" s="77"/>
      <c r="U84" s="73"/>
      <c r="V84" s="73"/>
      <c r="W84" s="73"/>
      <c r="X84" s="73"/>
      <c r="Y84" s="73"/>
      <c r="Z84" s="73"/>
      <c r="AA84" s="77"/>
      <c r="AB84" s="77">
        <f>S84+AA84</f>
        <v>0</v>
      </c>
    </row>
    <row r="85" spans="1:28" ht="37.5" customHeight="1">
      <c r="A85" s="59"/>
      <c r="B85" s="63" t="s">
        <v>144</v>
      </c>
      <c r="C85" s="77">
        <v>3594.4</v>
      </c>
      <c r="D85" s="78"/>
      <c r="E85" s="78"/>
      <c r="F85" s="78"/>
      <c r="G85" s="78"/>
      <c r="H85" s="78"/>
      <c r="I85" s="78"/>
      <c r="J85" s="78"/>
      <c r="K85" s="77">
        <f>D85+E85+F85+G85+H85+I85+J85</f>
        <v>0</v>
      </c>
      <c r="L85" s="77">
        <f t="shared" si="44"/>
        <v>3594.4</v>
      </c>
      <c r="S85" s="77">
        <f>3500</f>
        <v>3500</v>
      </c>
      <c r="T85" s="77"/>
      <c r="U85" s="73"/>
      <c r="V85" s="73"/>
      <c r="W85" s="73"/>
      <c r="X85" s="73"/>
      <c r="Y85" s="73"/>
      <c r="Z85" s="73"/>
      <c r="AA85" s="77">
        <f>T85+U85+V85+W85+X85+Y85+Z85</f>
        <v>0</v>
      </c>
      <c r="AB85" s="77">
        <f>S85+AA85</f>
        <v>3500</v>
      </c>
    </row>
    <row r="86" spans="1:28" ht="33">
      <c r="A86" s="59"/>
      <c r="B86" s="63" t="s">
        <v>383</v>
      </c>
      <c r="C86" s="77">
        <v>566.7</v>
      </c>
      <c r="D86" s="78"/>
      <c r="E86" s="78"/>
      <c r="F86" s="78"/>
      <c r="G86" s="78"/>
      <c r="H86" s="78"/>
      <c r="I86" s="78"/>
      <c r="J86" s="78"/>
      <c r="K86" s="77">
        <f>D86+E86+F86+G86+H86+I86+J86</f>
        <v>0</v>
      </c>
      <c r="L86" s="77">
        <f t="shared" si="44"/>
        <v>566.7</v>
      </c>
      <c r="M86" s="3">
        <v>1</v>
      </c>
      <c r="N86" s="3" t="s">
        <v>270</v>
      </c>
      <c r="O86" s="3">
        <v>2400</v>
      </c>
      <c r="P86" s="3" t="s">
        <v>271</v>
      </c>
      <c r="S86" s="77">
        <f>329.3</f>
        <v>329.3</v>
      </c>
      <c r="T86" s="77"/>
      <c r="U86" s="73"/>
      <c r="V86" s="73"/>
      <c r="W86" s="73"/>
      <c r="X86" s="73"/>
      <c r="Y86" s="73"/>
      <c r="Z86" s="73"/>
      <c r="AA86" s="77">
        <f>T86+U86+V86+W86+X86+Y86+Z86</f>
        <v>0</v>
      </c>
      <c r="AB86" s="77">
        <f>S86+AA86</f>
        <v>329.3</v>
      </c>
    </row>
    <row r="87" spans="1:28" ht="16.5" hidden="1">
      <c r="A87" s="80"/>
      <c r="B87" s="81" t="s">
        <v>72</v>
      </c>
      <c r="C87" s="77"/>
      <c r="D87" s="78"/>
      <c r="E87" s="78"/>
      <c r="F87" s="78"/>
      <c r="G87" s="78"/>
      <c r="H87" s="78"/>
      <c r="I87" s="78"/>
      <c r="J87" s="78"/>
      <c r="K87" s="77"/>
      <c r="L87" s="82"/>
      <c r="S87" s="77"/>
      <c r="T87" s="77"/>
      <c r="U87" s="85"/>
      <c r="V87" s="85"/>
      <c r="W87" s="85"/>
      <c r="X87" s="85"/>
      <c r="Y87" s="85"/>
      <c r="Z87" s="85"/>
      <c r="AA87" s="77">
        <f>T87+U87+V87+W87+X87+Y87+Z87</f>
        <v>0</v>
      </c>
      <c r="AB87" s="82"/>
    </row>
    <row r="88" spans="1:28" ht="29.25" customHeight="1">
      <c r="A88" s="59"/>
      <c r="B88" s="86" t="s">
        <v>100</v>
      </c>
      <c r="C88" s="77">
        <v>0</v>
      </c>
      <c r="D88" s="78"/>
      <c r="E88" s="78">
        <v>3</v>
      </c>
      <c r="F88" s="78">
        <v>3</v>
      </c>
      <c r="G88" s="78">
        <v>3</v>
      </c>
      <c r="H88" s="78">
        <v>3</v>
      </c>
      <c r="I88" s="78">
        <v>3</v>
      </c>
      <c r="J88" s="78">
        <v>3</v>
      </c>
      <c r="K88" s="77">
        <v>0</v>
      </c>
      <c r="L88" s="77">
        <f t="shared" si="44"/>
        <v>0</v>
      </c>
      <c r="S88" s="77">
        <f>80</f>
        <v>80</v>
      </c>
      <c r="T88" s="77"/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73">
        <v>0</v>
      </c>
      <c r="AA88" s="77">
        <f>T88+U88+V88+W88+X88+Y88+Z88</f>
        <v>0</v>
      </c>
      <c r="AB88" s="77">
        <f aca="true" t="shared" si="45" ref="AB88:AB96">S88+AA88</f>
        <v>80</v>
      </c>
    </row>
    <row r="89" spans="1:28" ht="39.75" customHeight="1">
      <c r="A89" s="59" t="s">
        <v>146</v>
      </c>
      <c r="B89" s="86" t="s">
        <v>377</v>
      </c>
      <c r="C89" s="77">
        <f>C91+C92+C93</f>
        <v>20348.3</v>
      </c>
      <c r="D89" s="78">
        <f aca="true" t="shared" si="46" ref="D89:J89">D91+D92+D93</f>
        <v>0</v>
      </c>
      <c r="E89" s="78">
        <f t="shared" si="46"/>
        <v>0</v>
      </c>
      <c r="F89" s="78">
        <f t="shared" si="46"/>
        <v>0</v>
      </c>
      <c r="G89" s="78">
        <f t="shared" si="46"/>
        <v>0</v>
      </c>
      <c r="H89" s="78">
        <f t="shared" si="46"/>
        <v>0</v>
      </c>
      <c r="I89" s="78">
        <f t="shared" si="46"/>
        <v>0</v>
      </c>
      <c r="J89" s="78">
        <f t="shared" si="46"/>
        <v>0</v>
      </c>
      <c r="K89" s="77">
        <f>K91+K92+K93</f>
        <v>0</v>
      </c>
      <c r="L89" s="77">
        <f t="shared" si="44"/>
        <v>20348.3</v>
      </c>
      <c r="S89" s="77">
        <f>S91+S92+S93</f>
        <v>23926</v>
      </c>
      <c r="T89" s="77">
        <f aca="true" t="shared" si="47" ref="T89:Z89">T91+T92+T93</f>
        <v>0</v>
      </c>
      <c r="U89" s="73">
        <f t="shared" si="47"/>
        <v>0</v>
      </c>
      <c r="V89" s="73">
        <f t="shared" si="47"/>
        <v>0</v>
      </c>
      <c r="W89" s="73">
        <f t="shared" si="47"/>
        <v>0</v>
      </c>
      <c r="X89" s="73">
        <f t="shared" si="47"/>
        <v>0</v>
      </c>
      <c r="Y89" s="73">
        <f t="shared" si="47"/>
        <v>0</v>
      </c>
      <c r="Z89" s="73">
        <f t="shared" si="47"/>
        <v>0</v>
      </c>
      <c r="AA89" s="77">
        <f>T89+U89+V89+W89+X89+Y89+Z89</f>
        <v>0</v>
      </c>
      <c r="AB89" s="77">
        <f t="shared" si="45"/>
        <v>23926</v>
      </c>
    </row>
    <row r="90" spans="1:28" ht="16.5" hidden="1">
      <c r="A90" s="59"/>
      <c r="B90" s="86" t="s">
        <v>136</v>
      </c>
      <c r="C90" s="77"/>
      <c r="D90" s="78"/>
      <c r="E90" s="78"/>
      <c r="F90" s="78"/>
      <c r="G90" s="78"/>
      <c r="H90" s="78"/>
      <c r="I90" s="78"/>
      <c r="J90" s="78"/>
      <c r="K90" s="77"/>
      <c r="L90" s="77">
        <f t="shared" si="44"/>
        <v>0</v>
      </c>
      <c r="S90" s="77"/>
      <c r="T90" s="77"/>
      <c r="U90" s="73"/>
      <c r="V90" s="73"/>
      <c r="W90" s="73"/>
      <c r="X90" s="73"/>
      <c r="Y90" s="73"/>
      <c r="Z90" s="73"/>
      <c r="AA90" s="77"/>
      <c r="AB90" s="77">
        <f t="shared" si="45"/>
        <v>0</v>
      </c>
    </row>
    <row r="91" spans="1:28" ht="16.5">
      <c r="A91" s="59"/>
      <c r="B91" s="63" t="s">
        <v>147</v>
      </c>
      <c r="C91" s="77">
        <v>2200.6</v>
      </c>
      <c r="D91" s="78"/>
      <c r="E91" s="78"/>
      <c r="F91" s="78"/>
      <c r="G91" s="78"/>
      <c r="H91" s="78"/>
      <c r="I91" s="78"/>
      <c r="J91" s="78"/>
      <c r="K91" s="77">
        <f>D91+E91+F91+G91+H91+I91+J91</f>
        <v>0</v>
      </c>
      <c r="L91" s="77">
        <f t="shared" si="44"/>
        <v>2200.6</v>
      </c>
      <c r="S91" s="77">
        <f>2975</f>
        <v>2975</v>
      </c>
      <c r="T91" s="77"/>
      <c r="U91" s="73"/>
      <c r="V91" s="73"/>
      <c r="W91" s="73"/>
      <c r="X91" s="73"/>
      <c r="Y91" s="73"/>
      <c r="Z91" s="73"/>
      <c r="AA91" s="77">
        <f>T91+U91+V91+W91+X91+Y91+Z91</f>
        <v>0</v>
      </c>
      <c r="AB91" s="77">
        <f t="shared" si="45"/>
        <v>2975</v>
      </c>
    </row>
    <row r="92" spans="1:28" ht="49.5">
      <c r="A92" s="59"/>
      <c r="B92" s="63" t="s">
        <v>275</v>
      </c>
      <c r="C92" s="77">
        <v>17647.7</v>
      </c>
      <c r="D92" s="78"/>
      <c r="E92" s="78"/>
      <c r="F92" s="78"/>
      <c r="G92" s="78"/>
      <c r="H92" s="78"/>
      <c r="I92" s="78"/>
      <c r="J92" s="78"/>
      <c r="K92" s="77">
        <f>D92+E92+F92+G92+H92+I92+J92</f>
        <v>0</v>
      </c>
      <c r="L92" s="77">
        <f t="shared" si="44"/>
        <v>17647.7</v>
      </c>
      <c r="M92" s="3">
        <v>100</v>
      </c>
      <c r="N92" s="3" t="s">
        <v>270</v>
      </c>
      <c r="S92" s="77">
        <f>20433.1</f>
        <v>20433.1</v>
      </c>
      <c r="T92" s="77"/>
      <c r="U92" s="73"/>
      <c r="V92" s="73"/>
      <c r="W92" s="73"/>
      <c r="X92" s="73"/>
      <c r="Y92" s="73"/>
      <c r="Z92" s="73"/>
      <c r="AA92" s="77">
        <f>T92+U92+V92+W92+X92+Y92+Z92</f>
        <v>0</v>
      </c>
      <c r="AB92" s="77">
        <f t="shared" si="45"/>
        <v>20433.1</v>
      </c>
    </row>
    <row r="93" spans="1:28" ht="16.5">
      <c r="A93" s="59"/>
      <c r="B93" s="63" t="s">
        <v>100</v>
      </c>
      <c r="C93" s="77">
        <v>500</v>
      </c>
      <c r="D93" s="78"/>
      <c r="E93" s="78"/>
      <c r="F93" s="78"/>
      <c r="G93" s="78"/>
      <c r="H93" s="78"/>
      <c r="I93" s="78"/>
      <c r="J93" s="78"/>
      <c r="K93" s="77">
        <f>D93+E93+F93+G93+H93+I93+J93</f>
        <v>0</v>
      </c>
      <c r="L93" s="77">
        <f t="shared" si="44"/>
        <v>500</v>
      </c>
      <c r="S93" s="77">
        <f>517.9</f>
        <v>517.9</v>
      </c>
      <c r="T93" s="77"/>
      <c r="U93" s="73"/>
      <c r="V93" s="73"/>
      <c r="W93" s="73"/>
      <c r="X93" s="73"/>
      <c r="Y93" s="73"/>
      <c r="Z93" s="73"/>
      <c r="AA93" s="77">
        <f>T93+U93+V93+W93+X93+Y93+Z93</f>
        <v>0</v>
      </c>
      <c r="AB93" s="77">
        <f t="shared" si="45"/>
        <v>517.9</v>
      </c>
    </row>
    <row r="94" spans="1:28" s="1" customFormat="1" ht="22.5" customHeight="1">
      <c r="A94" s="228" t="s">
        <v>150</v>
      </c>
      <c r="B94" s="229" t="s">
        <v>151</v>
      </c>
      <c r="C94" s="85">
        <f>C95+C100</f>
        <v>54020.3</v>
      </c>
      <c r="D94" s="232">
        <f aca="true" t="shared" si="48" ref="D94:J94">D95+D100</f>
        <v>0</v>
      </c>
      <c r="E94" s="232">
        <f t="shared" si="48"/>
        <v>0</v>
      </c>
      <c r="F94" s="232">
        <f t="shared" si="48"/>
        <v>0</v>
      </c>
      <c r="G94" s="232">
        <f t="shared" si="48"/>
        <v>0</v>
      </c>
      <c r="H94" s="232">
        <f t="shared" si="48"/>
        <v>0</v>
      </c>
      <c r="I94" s="232">
        <f t="shared" si="48"/>
        <v>0</v>
      </c>
      <c r="J94" s="232">
        <f t="shared" si="48"/>
        <v>0</v>
      </c>
      <c r="K94" s="85">
        <f>K95+K100</f>
        <v>0</v>
      </c>
      <c r="L94" s="85">
        <f t="shared" si="44"/>
        <v>54020.3</v>
      </c>
      <c r="M94" s="134"/>
      <c r="N94" s="134"/>
      <c r="O94" s="134"/>
      <c r="P94" s="134"/>
      <c r="Q94" s="134"/>
      <c r="R94" s="233"/>
      <c r="S94" s="85">
        <f>S95+S100</f>
        <v>64418.8</v>
      </c>
      <c r="T94" s="85">
        <f aca="true" t="shared" si="49" ref="T94:Z94">T95+T100</f>
        <v>0</v>
      </c>
      <c r="U94" s="85">
        <f t="shared" si="49"/>
        <v>0</v>
      </c>
      <c r="V94" s="85">
        <f t="shared" si="49"/>
        <v>0</v>
      </c>
      <c r="W94" s="85">
        <f t="shared" si="49"/>
        <v>0</v>
      </c>
      <c r="X94" s="85">
        <f t="shared" si="49"/>
        <v>0</v>
      </c>
      <c r="Y94" s="85">
        <f t="shared" si="49"/>
        <v>0</v>
      </c>
      <c r="Z94" s="85">
        <f t="shared" si="49"/>
        <v>0</v>
      </c>
      <c r="AA94" s="85">
        <f>AA95+AA100</f>
        <v>0</v>
      </c>
      <c r="AB94" s="85">
        <f t="shared" si="45"/>
        <v>64418.8</v>
      </c>
    </row>
    <row r="95" spans="1:28" ht="23.25" customHeight="1">
      <c r="A95" s="59" t="s">
        <v>152</v>
      </c>
      <c r="B95" s="63" t="s">
        <v>358</v>
      </c>
      <c r="C95" s="77">
        <f aca="true" t="shared" si="50" ref="C95:J95">C96+C97+C98+C99</f>
        <v>50916.3</v>
      </c>
      <c r="D95" s="78">
        <f t="shared" si="50"/>
        <v>0</v>
      </c>
      <c r="E95" s="78">
        <f t="shared" si="50"/>
        <v>0</v>
      </c>
      <c r="F95" s="78"/>
      <c r="G95" s="78">
        <f t="shared" si="50"/>
        <v>0</v>
      </c>
      <c r="H95" s="78">
        <f t="shared" si="50"/>
        <v>0</v>
      </c>
      <c r="I95" s="78">
        <f t="shared" si="50"/>
        <v>0</v>
      </c>
      <c r="J95" s="78">
        <f t="shared" si="50"/>
        <v>0</v>
      </c>
      <c r="K95" s="77">
        <f>K96+K97+K98+K99</f>
        <v>0</v>
      </c>
      <c r="L95" s="77">
        <f t="shared" si="44"/>
        <v>50916.3</v>
      </c>
      <c r="S95" s="77">
        <f>S96+S97+S98+S99</f>
        <v>47246.6</v>
      </c>
      <c r="T95" s="77">
        <f>T96+T97+T98+T99</f>
        <v>0</v>
      </c>
      <c r="U95" s="73">
        <f aca="true" t="shared" si="51" ref="U95:Z95">U96+U97+U98+U99</f>
        <v>0</v>
      </c>
      <c r="V95" s="73"/>
      <c r="W95" s="73">
        <f t="shared" si="51"/>
        <v>0</v>
      </c>
      <c r="X95" s="73">
        <f t="shared" si="51"/>
        <v>0</v>
      </c>
      <c r="Y95" s="73">
        <f t="shared" si="51"/>
        <v>0</v>
      </c>
      <c r="Z95" s="73">
        <f t="shared" si="51"/>
        <v>0</v>
      </c>
      <c r="AA95" s="77">
        <f>AA96+AA97+AA98+AA99</f>
        <v>0</v>
      </c>
      <c r="AB95" s="77">
        <f t="shared" si="45"/>
        <v>47246.6</v>
      </c>
    </row>
    <row r="96" spans="1:28" ht="33">
      <c r="A96" s="59"/>
      <c r="B96" s="63" t="s">
        <v>359</v>
      </c>
      <c r="C96" s="77">
        <v>50916.3</v>
      </c>
      <c r="D96" s="78"/>
      <c r="E96" s="78"/>
      <c r="F96" s="78"/>
      <c r="G96" s="78"/>
      <c r="H96" s="78"/>
      <c r="I96" s="78"/>
      <c r="J96" s="78"/>
      <c r="K96" s="77">
        <f>D96+E96+F96+G96+H96+I96+J96</f>
        <v>0</v>
      </c>
      <c r="L96" s="77">
        <f t="shared" si="44"/>
        <v>50916.3</v>
      </c>
      <c r="S96" s="77">
        <f>47246.6</f>
        <v>47246.6</v>
      </c>
      <c r="T96" s="77"/>
      <c r="U96" s="73"/>
      <c r="V96" s="73"/>
      <c r="W96" s="73"/>
      <c r="X96" s="73"/>
      <c r="Y96" s="73"/>
      <c r="Z96" s="73"/>
      <c r="AA96" s="77">
        <f>T96+U96+V96+W96+X96+Y96+Z96</f>
        <v>0</v>
      </c>
      <c r="AB96" s="77">
        <f t="shared" si="45"/>
        <v>47246.6</v>
      </c>
    </row>
    <row r="97" spans="1:28" ht="16.5" hidden="1">
      <c r="A97" s="59"/>
      <c r="B97" s="63" t="s">
        <v>278</v>
      </c>
      <c r="C97" s="77"/>
      <c r="D97" s="78"/>
      <c r="E97" s="78"/>
      <c r="F97" s="78"/>
      <c r="G97" s="78"/>
      <c r="H97" s="78"/>
      <c r="I97" s="78"/>
      <c r="J97" s="78"/>
      <c r="K97" s="77">
        <f>D97+E97+F97+G97+H97+I97+J97</f>
        <v>0</v>
      </c>
      <c r="L97" s="77"/>
      <c r="S97" s="77"/>
      <c r="T97" s="77"/>
      <c r="U97" s="73"/>
      <c r="V97" s="73"/>
      <c r="W97" s="73"/>
      <c r="X97" s="73"/>
      <c r="Y97" s="73"/>
      <c r="Z97" s="73"/>
      <c r="AA97" s="77">
        <f>T97+U97+V97+W97+X97+Y97+Z97</f>
        <v>0</v>
      </c>
      <c r="AB97" s="77"/>
    </row>
    <row r="98" spans="1:28" ht="16.5" hidden="1">
      <c r="A98" s="59"/>
      <c r="B98" s="63" t="s">
        <v>279</v>
      </c>
      <c r="C98" s="77"/>
      <c r="D98" s="78"/>
      <c r="E98" s="78"/>
      <c r="F98" s="78"/>
      <c r="G98" s="78"/>
      <c r="H98" s="78"/>
      <c r="I98" s="78"/>
      <c r="J98" s="78"/>
      <c r="K98" s="77">
        <f>D98+E98+F98+G98+H98+I98+J98</f>
        <v>0</v>
      </c>
      <c r="L98" s="77">
        <f t="shared" si="44"/>
        <v>0</v>
      </c>
      <c r="S98" s="77"/>
      <c r="T98" s="77"/>
      <c r="U98" s="73"/>
      <c r="V98" s="73"/>
      <c r="W98" s="73"/>
      <c r="X98" s="73"/>
      <c r="Y98" s="73"/>
      <c r="Z98" s="73"/>
      <c r="AA98" s="77">
        <f>T98+U98+V98+W98+X98+Y98+Z98</f>
        <v>0</v>
      </c>
      <c r="AB98" s="77">
        <f aca="true" t="shared" si="52" ref="AB98:AB122">S98+AA98</f>
        <v>0</v>
      </c>
    </row>
    <row r="99" spans="1:28" ht="16.5" hidden="1">
      <c r="A99" s="59"/>
      <c r="B99" s="63" t="s">
        <v>270</v>
      </c>
      <c r="C99" s="77"/>
      <c r="D99" s="78"/>
      <c r="E99" s="78"/>
      <c r="F99" s="78"/>
      <c r="G99" s="78"/>
      <c r="H99" s="78"/>
      <c r="I99" s="78"/>
      <c r="J99" s="78"/>
      <c r="K99" s="77">
        <f>D99+E99+F99+G99+H99+I99+J99</f>
        <v>0</v>
      </c>
      <c r="L99" s="77">
        <f t="shared" si="44"/>
        <v>0</v>
      </c>
      <c r="M99" s="3">
        <v>160</v>
      </c>
      <c r="N99" s="3" t="s">
        <v>270</v>
      </c>
      <c r="S99" s="77"/>
      <c r="T99" s="77"/>
      <c r="U99" s="73"/>
      <c r="V99" s="73"/>
      <c r="W99" s="73"/>
      <c r="X99" s="73"/>
      <c r="Y99" s="73"/>
      <c r="Z99" s="73"/>
      <c r="AA99" s="77">
        <f>T99+U99+V99+W99+X99+Y99+Z99</f>
        <v>0</v>
      </c>
      <c r="AB99" s="77">
        <f t="shared" si="52"/>
        <v>0</v>
      </c>
    </row>
    <row r="100" spans="1:28" ht="21" customHeight="1">
      <c r="A100" s="59" t="s">
        <v>154</v>
      </c>
      <c r="B100" s="63" t="s">
        <v>378</v>
      </c>
      <c r="C100" s="77">
        <f aca="true" t="shared" si="53" ref="C100:J100">C102+C103+C104</f>
        <v>3104</v>
      </c>
      <c r="D100" s="78">
        <f t="shared" si="53"/>
        <v>0</v>
      </c>
      <c r="E100" s="78">
        <f t="shared" si="53"/>
        <v>0</v>
      </c>
      <c r="F100" s="78"/>
      <c r="G100" s="78">
        <f t="shared" si="53"/>
        <v>0</v>
      </c>
      <c r="H100" s="78">
        <f t="shared" si="53"/>
        <v>0</v>
      </c>
      <c r="I100" s="78">
        <f t="shared" si="53"/>
        <v>0</v>
      </c>
      <c r="J100" s="78">
        <f t="shared" si="53"/>
        <v>0</v>
      </c>
      <c r="K100" s="77">
        <f>K102+K103+K104</f>
        <v>0</v>
      </c>
      <c r="L100" s="77">
        <f t="shared" si="44"/>
        <v>3104</v>
      </c>
      <c r="S100" s="77">
        <f>S102+S103+S104</f>
        <v>17172.2</v>
      </c>
      <c r="T100" s="77">
        <f>T102+T103+T104</f>
        <v>0</v>
      </c>
      <c r="U100" s="73">
        <f aca="true" t="shared" si="54" ref="U100:Z100">U102+U103+U104</f>
        <v>0</v>
      </c>
      <c r="V100" s="73"/>
      <c r="W100" s="73">
        <f t="shared" si="54"/>
        <v>0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7">
        <f>AA102+AA103+AA104</f>
        <v>0</v>
      </c>
      <c r="AB100" s="77">
        <f t="shared" si="52"/>
        <v>17172.2</v>
      </c>
    </row>
    <row r="101" spans="1:28" ht="16.5" hidden="1">
      <c r="A101" s="59"/>
      <c r="B101" s="63" t="s">
        <v>136</v>
      </c>
      <c r="C101" s="77"/>
      <c r="D101" s="78"/>
      <c r="E101" s="78"/>
      <c r="F101" s="78"/>
      <c r="G101" s="78"/>
      <c r="H101" s="78"/>
      <c r="I101" s="78"/>
      <c r="J101" s="78"/>
      <c r="K101" s="77"/>
      <c r="L101" s="77">
        <f t="shared" si="44"/>
        <v>0</v>
      </c>
      <c r="S101" s="77"/>
      <c r="T101" s="77"/>
      <c r="U101" s="73"/>
      <c r="V101" s="73"/>
      <c r="W101" s="73"/>
      <c r="X101" s="73"/>
      <c r="Y101" s="73"/>
      <c r="Z101" s="73"/>
      <c r="AA101" s="77"/>
      <c r="AB101" s="77">
        <f t="shared" si="52"/>
        <v>0</v>
      </c>
    </row>
    <row r="102" spans="1:28" ht="16.5">
      <c r="A102" s="59"/>
      <c r="B102" s="63" t="s">
        <v>147</v>
      </c>
      <c r="C102" s="77">
        <v>745</v>
      </c>
      <c r="D102" s="78"/>
      <c r="E102" s="78"/>
      <c r="F102" s="78"/>
      <c r="G102" s="78"/>
      <c r="H102" s="78"/>
      <c r="I102" s="78"/>
      <c r="J102" s="78"/>
      <c r="K102" s="77">
        <f>D102+E102+F102+G102+H102+I102+J102</f>
        <v>0</v>
      </c>
      <c r="L102" s="77">
        <f t="shared" si="44"/>
        <v>745</v>
      </c>
      <c r="S102" s="77">
        <f>977.8</f>
        <v>977.8</v>
      </c>
      <c r="T102" s="77"/>
      <c r="U102" s="73"/>
      <c r="V102" s="73"/>
      <c r="W102" s="73"/>
      <c r="X102" s="73"/>
      <c r="Y102" s="73"/>
      <c r="Z102" s="73"/>
      <c r="AA102" s="77">
        <f>T102+U102+V102+W102+X102+Y102+Z102</f>
        <v>0</v>
      </c>
      <c r="AB102" s="77">
        <f t="shared" si="52"/>
        <v>977.8</v>
      </c>
    </row>
    <row r="103" spans="1:28" ht="49.5">
      <c r="A103" s="59"/>
      <c r="B103" s="63" t="s">
        <v>148</v>
      </c>
      <c r="C103" s="77">
        <v>2059</v>
      </c>
      <c r="D103" s="78"/>
      <c r="E103" s="78"/>
      <c r="F103" s="78"/>
      <c r="G103" s="78"/>
      <c r="H103" s="78"/>
      <c r="I103" s="78"/>
      <c r="J103" s="78"/>
      <c r="K103" s="77">
        <f>D103+E103+F103+G103+H103+I103+J103</f>
        <v>0</v>
      </c>
      <c r="L103" s="77">
        <f t="shared" si="44"/>
        <v>2059</v>
      </c>
      <c r="M103" s="3">
        <v>5</v>
      </c>
      <c r="N103" s="3" t="s">
        <v>270</v>
      </c>
      <c r="S103" s="77">
        <f>15994.4</f>
        <v>15994.4</v>
      </c>
      <c r="T103" s="77"/>
      <c r="U103" s="73"/>
      <c r="V103" s="73"/>
      <c r="W103" s="73"/>
      <c r="X103" s="73"/>
      <c r="Y103" s="73"/>
      <c r="Z103" s="73"/>
      <c r="AA103" s="77">
        <f>T103+U103+V103+W103+X103+Y103+Z103</f>
        <v>0</v>
      </c>
      <c r="AB103" s="77">
        <f t="shared" si="52"/>
        <v>15994.4</v>
      </c>
    </row>
    <row r="104" spans="1:28" ht="16.5">
      <c r="A104" s="59"/>
      <c r="B104" s="63" t="s">
        <v>100</v>
      </c>
      <c r="C104" s="77">
        <v>300</v>
      </c>
      <c r="D104" s="78"/>
      <c r="E104" s="78"/>
      <c r="F104" s="78"/>
      <c r="G104" s="78"/>
      <c r="H104" s="78"/>
      <c r="I104" s="78"/>
      <c r="J104" s="78"/>
      <c r="K104" s="77">
        <f>D104+E104+F104+G104+H104+I104+J104</f>
        <v>0</v>
      </c>
      <c r="L104" s="77">
        <f t="shared" si="44"/>
        <v>300</v>
      </c>
      <c r="S104" s="77">
        <f>200</f>
        <v>200</v>
      </c>
      <c r="T104" s="77"/>
      <c r="U104" s="73"/>
      <c r="V104" s="73"/>
      <c r="W104" s="73"/>
      <c r="X104" s="73"/>
      <c r="Y104" s="73"/>
      <c r="Z104" s="73"/>
      <c r="AA104" s="77">
        <f>T104+U104+V104+W104+X104+Y104+Z104</f>
        <v>0</v>
      </c>
      <c r="AB104" s="77">
        <f t="shared" si="52"/>
        <v>200</v>
      </c>
    </row>
    <row r="105" spans="1:28" ht="16.5" hidden="1">
      <c r="A105" s="59" t="s">
        <v>158</v>
      </c>
      <c r="B105" s="63" t="s">
        <v>159</v>
      </c>
      <c r="C105" s="77">
        <f>C106+C107+C108+C109</f>
        <v>0</v>
      </c>
      <c r="D105" s="78"/>
      <c r="E105" s="78"/>
      <c r="F105" s="78"/>
      <c r="G105" s="78"/>
      <c r="H105" s="78"/>
      <c r="I105" s="78"/>
      <c r="J105" s="78"/>
      <c r="K105" s="77">
        <f>K106+K107+K108+K109</f>
        <v>0</v>
      </c>
      <c r="L105" s="77">
        <f t="shared" si="44"/>
        <v>0</v>
      </c>
      <c r="S105" s="77">
        <f>S106+S107+S108+S109</f>
        <v>0</v>
      </c>
      <c r="T105" s="77"/>
      <c r="U105" s="73"/>
      <c r="V105" s="73"/>
      <c r="W105" s="73"/>
      <c r="X105" s="73"/>
      <c r="Y105" s="73"/>
      <c r="Z105" s="73"/>
      <c r="AA105" s="77">
        <f>AA106+AA107+AA108+AA109</f>
        <v>0</v>
      </c>
      <c r="AB105" s="77">
        <f t="shared" si="52"/>
        <v>0</v>
      </c>
    </row>
    <row r="106" spans="1:28" ht="16.5" hidden="1">
      <c r="A106" s="59" t="s">
        <v>160</v>
      </c>
      <c r="B106" s="63" t="s">
        <v>161</v>
      </c>
      <c r="C106" s="77">
        <f>0</f>
        <v>0</v>
      </c>
      <c r="D106" s="78"/>
      <c r="E106" s="78"/>
      <c r="F106" s="78"/>
      <c r="G106" s="78"/>
      <c r="H106" s="78"/>
      <c r="I106" s="78"/>
      <c r="J106" s="78"/>
      <c r="K106" s="77">
        <v>0</v>
      </c>
      <c r="L106" s="77">
        <f t="shared" si="44"/>
        <v>0</v>
      </c>
      <c r="S106" s="77">
        <f>0</f>
        <v>0</v>
      </c>
      <c r="T106" s="77"/>
      <c r="U106" s="73"/>
      <c r="V106" s="73"/>
      <c r="W106" s="73"/>
      <c r="X106" s="73"/>
      <c r="Y106" s="73"/>
      <c r="Z106" s="73"/>
      <c r="AA106" s="77">
        <v>0</v>
      </c>
      <c r="AB106" s="77">
        <f t="shared" si="52"/>
        <v>0</v>
      </c>
    </row>
    <row r="107" spans="1:28" ht="33" hidden="1">
      <c r="A107" s="59" t="s">
        <v>162</v>
      </c>
      <c r="B107" s="63" t="s">
        <v>163</v>
      </c>
      <c r="C107" s="77">
        <f>0</f>
        <v>0</v>
      </c>
      <c r="D107" s="78"/>
      <c r="E107" s="78"/>
      <c r="F107" s="78"/>
      <c r="G107" s="78"/>
      <c r="H107" s="78"/>
      <c r="I107" s="78"/>
      <c r="J107" s="78"/>
      <c r="K107" s="77">
        <v>0</v>
      </c>
      <c r="L107" s="77">
        <f t="shared" si="44"/>
        <v>0</v>
      </c>
      <c r="S107" s="77">
        <f>0</f>
        <v>0</v>
      </c>
      <c r="T107" s="77"/>
      <c r="U107" s="73"/>
      <c r="V107" s="73"/>
      <c r="W107" s="73"/>
      <c r="X107" s="73"/>
      <c r="Y107" s="73"/>
      <c r="Z107" s="73"/>
      <c r="AA107" s="77">
        <v>0</v>
      </c>
      <c r="AB107" s="77">
        <f t="shared" si="52"/>
        <v>0</v>
      </c>
    </row>
    <row r="108" spans="1:28" ht="33" hidden="1">
      <c r="A108" s="59" t="s">
        <v>164</v>
      </c>
      <c r="B108" s="63" t="s">
        <v>165</v>
      </c>
      <c r="C108" s="77">
        <f>0</f>
        <v>0</v>
      </c>
      <c r="D108" s="78"/>
      <c r="E108" s="78"/>
      <c r="F108" s="78"/>
      <c r="G108" s="78"/>
      <c r="H108" s="78"/>
      <c r="I108" s="78"/>
      <c r="J108" s="78"/>
      <c r="K108" s="77">
        <v>0</v>
      </c>
      <c r="L108" s="77">
        <f t="shared" si="44"/>
        <v>0</v>
      </c>
      <c r="S108" s="77">
        <f>0</f>
        <v>0</v>
      </c>
      <c r="T108" s="77"/>
      <c r="U108" s="73"/>
      <c r="V108" s="73"/>
      <c r="W108" s="73"/>
      <c r="X108" s="73"/>
      <c r="Y108" s="73"/>
      <c r="Z108" s="73"/>
      <c r="AA108" s="77">
        <v>0</v>
      </c>
      <c r="AB108" s="77">
        <f t="shared" si="52"/>
        <v>0</v>
      </c>
    </row>
    <row r="109" spans="1:28" ht="49.5" hidden="1">
      <c r="A109" s="59" t="s">
        <v>166</v>
      </c>
      <c r="B109" s="63" t="s">
        <v>167</v>
      </c>
      <c r="C109" s="77">
        <f>0</f>
        <v>0</v>
      </c>
      <c r="D109" s="78"/>
      <c r="E109" s="78"/>
      <c r="F109" s="78"/>
      <c r="G109" s="78"/>
      <c r="H109" s="78"/>
      <c r="I109" s="78"/>
      <c r="J109" s="78"/>
      <c r="K109" s="77">
        <f>K111+K112</f>
        <v>0</v>
      </c>
      <c r="L109" s="77">
        <f t="shared" si="44"/>
        <v>0</v>
      </c>
      <c r="M109" s="3" t="s">
        <v>168</v>
      </c>
      <c r="S109" s="77">
        <f>0</f>
        <v>0</v>
      </c>
      <c r="T109" s="77"/>
      <c r="U109" s="73"/>
      <c r="V109" s="73"/>
      <c r="W109" s="73"/>
      <c r="X109" s="73"/>
      <c r="Y109" s="73"/>
      <c r="Z109" s="73"/>
      <c r="AA109" s="77">
        <f>AA111+AA112</f>
        <v>0</v>
      </c>
      <c r="AB109" s="77">
        <f t="shared" si="52"/>
        <v>0</v>
      </c>
    </row>
    <row r="110" spans="1:28" ht="16.5" hidden="1">
      <c r="A110" s="59"/>
      <c r="B110" s="63" t="s">
        <v>136</v>
      </c>
      <c r="C110" s="77"/>
      <c r="D110" s="78"/>
      <c r="E110" s="78"/>
      <c r="F110" s="78"/>
      <c r="G110" s="78"/>
      <c r="H110" s="78"/>
      <c r="I110" s="78"/>
      <c r="J110" s="78"/>
      <c r="K110" s="77"/>
      <c r="L110" s="77">
        <f t="shared" si="44"/>
        <v>0</v>
      </c>
      <c r="S110" s="77"/>
      <c r="T110" s="77"/>
      <c r="U110" s="73"/>
      <c r="V110" s="73"/>
      <c r="W110" s="73"/>
      <c r="X110" s="73"/>
      <c r="Y110" s="73"/>
      <c r="Z110" s="73"/>
      <c r="AA110" s="77"/>
      <c r="AB110" s="77">
        <f t="shared" si="52"/>
        <v>0</v>
      </c>
    </row>
    <row r="111" spans="1:28" ht="16.5" hidden="1">
      <c r="A111" s="59"/>
      <c r="B111" s="63" t="s">
        <v>147</v>
      </c>
      <c r="C111" s="77">
        <v>0</v>
      </c>
      <c r="D111" s="78"/>
      <c r="E111" s="78"/>
      <c r="F111" s="78"/>
      <c r="G111" s="78"/>
      <c r="H111" s="78"/>
      <c r="I111" s="78"/>
      <c r="J111" s="78"/>
      <c r="K111" s="77">
        <v>0</v>
      </c>
      <c r="L111" s="77">
        <f t="shared" si="44"/>
        <v>0</v>
      </c>
      <c r="S111" s="77">
        <v>0</v>
      </c>
      <c r="T111" s="77"/>
      <c r="U111" s="73"/>
      <c r="V111" s="73"/>
      <c r="W111" s="73"/>
      <c r="X111" s="73"/>
      <c r="Y111" s="73"/>
      <c r="Z111" s="73"/>
      <c r="AA111" s="77">
        <v>0</v>
      </c>
      <c r="AB111" s="77">
        <f t="shared" si="52"/>
        <v>0</v>
      </c>
    </row>
    <row r="112" spans="1:28" ht="16.5" hidden="1">
      <c r="A112" s="59"/>
      <c r="B112" s="63" t="s">
        <v>100</v>
      </c>
      <c r="C112" s="77">
        <f>0</f>
        <v>0</v>
      </c>
      <c r="D112" s="78"/>
      <c r="E112" s="78"/>
      <c r="F112" s="78"/>
      <c r="G112" s="78"/>
      <c r="H112" s="78"/>
      <c r="I112" s="78"/>
      <c r="J112" s="78"/>
      <c r="K112" s="77">
        <v>0</v>
      </c>
      <c r="L112" s="77">
        <f t="shared" si="44"/>
        <v>0</v>
      </c>
      <c r="S112" s="77">
        <f>0</f>
        <v>0</v>
      </c>
      <c r="T112" s="77"/>
      <c r="U112" s="73"/>
      <c r="V112" s="73"/>
      <c r="W112" s="73"/>
      <c r="X112" s="73"/>
      <c r="Y112" s="73"/>
      <c r="Z112" s="73"/>
      <c r="AA112" s="77">
        <v>0</v>
      </c>
      <c r="AB112" s="77">
        <f t="shared" si="52"/>
        <v>0</v>
      </c>
    </row>
    <row r="113" spans="1:28" ht="19.5" customHeight="1">
      <c r="A113" s="235" t="s">
        <v>169</v>
      </c>
      <c r="B113" s="236" t="s">
        <v>170</v>
      </c>
      <c r="C113" s="82">
        <f>C114+C115+C120</f>
        <v>19534.2</v>
      </c>
      <c r="D113" s="83">
        <f aca="true" t="shared" si="55" ref="D113:J113">D114+D115+D120</f>
        <v>100</v>
      </c>
      <c r="E113" s="83">
        <f t="shared" si="55"/>
        <v>36</v>
      </c>
      <c r="F113" s="83">
        <f t="shared" si="55"/>
        <v>0</v>
      </c>
      <c r="G113" s="83">
        <f t="shared" si="55"/>
        <v>60</v>
      </c>
      <c r="H113" s="83">
        <f t="shared" si="55"/>
        <v>40</v>
      </c>
      <c r="I113" s="83">
        <f t="shared" si="55"/>
        <v>18</v>
      </c>
      <c r="J113" s="83">
        <f t="shared" si="55"/>
        <v>30</v>
      </c>
      <c r="K113" s="82">
        <f>K114+K115+K120</f>
        <v>645</v>
      </c>
      <c r="L113" s="82">
        <f t="shared" si="44"/>
        <v>20179.2</v>
      </c>
      <c r="M113" s="135"/>
      <c r="N113" s="135"/>
      <c r="O113" s="135"/>
      <c r="P113" s="135"/>
      <c r="Q113" s="135"/>
      <c r="R113" s="237"/>
      <c r="S113" s="82">
        <f>S114+S115+S120</f>
        <v>20964.600000000002</v>
      </c>
      <c r="T113" s="82">
        <f aca="true" t="shared" si="56" ref="T113:Z113">T114+T115+T120</f>
        <v>435</v>
      </c>
      <c r="U113" s="85">
        <f t="shared" si="56"/>
        <v>36</v>
      </c>
      <c r="V113" s="85">
        <f t="shared" si="56"/>
        <v>0</v>
      </c>
      <c r="W113" s="85">
        <f t="shared" si="56"/>
        <v>18</v>
      </c>
      <c r="X113" s="85">
        <f t="shared" si="56"/>
        <v>66</v>
      </c>
      <c r="Y113" s="85">
        <f t="shared" si="56"/>
        <v>18</v>
      </c>
      <c r="Z113" s="85">
        <f t="shared" si="56"/>
        <v>110.4</v>
      </c>
      <c r="AA113" s="82">
        <f>AA114+AA115+AA120</f>
        <v>683.4</v>
      </c>
      <c r="AB113" s="82">
        <f t="shared" si="52"/>
        <v>21648.000000000004</v>
      </c>
    </row>
    <row r="114" spans="1:28" ht="50.25" customHeight="1">
      <c r="A114" s="59" t="s">
        <v>171</v>
      </c>
      <c r="B114" s="63" t="s">
        <v>364</v>
      </c>
      <c r="C114" s="77">
        <v>882</v>
      </c>
      <c r="D114" s="78">
        <v>100</v>
      </c>
      <c r="E114" s="78">
        <v>36</v>
      </c>
      <c r="F114" s="78"/>
      <c r="G114" s="78">
        <v>60</v>
      </c>
      <c r="H114" s="78">
        <v>40</v>
      </c>
      <c r="I114" s="78">
        <v>18</v>
      </c>
      <c r="J114" s="78">
        <v>30</v>
      </c>
      <c r="K114" s="77">
        <v>645</v>
      </c>
      <c r="L114" s="77">
        <f t="shared" si="44"/>
        <v>1527</v>
      </c>
      <c r="S114" s="77">
        <f>1400</f>
        <v>1400</v>
      </c>
      <c r="T114" s="77">
        <f>435</f>
        <v>435</v>
      </c>
      <c r="U114" s="73">
        <v>36</v>
      </c>
      <c r="V114" s="73">
        <f>0</f>
        <v>0</v>
      </c>
      <c r="W114" s="73">
        <v>18</v>
      </c>
      <c r="X114" s="73">
        <v>66</v>
      </c>
      <c r="Y114" s="73">
        <v>18</v>
      </c>
      <c r="Z114" s="73">
        <f>110.4</f>
        <v>110.4</v>
      </c>
      <c r="AA114" s="77">
        <f>T114+U114+V114+W114+X114+Y114+Z114</f>
        <v>683.4</v>
      </c>
      <c r="AB114" s="77">
        <f t="shared" si="52"/>
        <v>2083.4</v>
      </c>
    </row>
    <row r="115" spans="1:28" ht="24" customHeight="1">
      <c r="A115" s="59" t="s">
        <v>173</v>
      </c>
      <c r="B115" s="63" t="s">
        <v>379</v>
      </c>
      <c r="C115" s="77">
        <f aca="true" t="shared" si="57" ref="C115:J115">C116+C117+C118+C119</f>
        <v>14530.800000000001</v>
      </c>
      <c r="D115" s="78">
        <f t="shared" si="57"/>
        <v>0</v>
      </c>
      <c r="E115" s="78">
        <f t="shared" si="57"/>
        <v>0</v>
      </c>
      <c r="F115" s="78"/>
      <c r="G115" s="78">
        <f t="shared" si="57"/>
        <v>0</v>
      </c>
      <c r="H115" s="78">
        <f t="shared" si="57"/>
        <v>0</v>
      </c>
      <c r="I115" s="78">
        <f t="shared" si="57"/>
        <v>0</v>
      </c>
      <c r="J115" s="78">
        <f t="shared" si="57"/>
        <v>0</v>
      </c>
      <c r="K115" s="77">
        <f>K116+K117+K118+K119</f>
        <v>0</v>
      </c>
      <c r="L115" s="77">
        <f t="shared" si="44"/>
        <v>14530.800000000001</v>
      </c>
      <c r="S115" s="77">
        <f>S116+S117+S118+S119</f>
        <v>15637.2</v>
      </c>
      <c r="T115" s="77">
        <f>T116+T117+T118+T119</f>
        <v>0</v>
      </c>
      <c r="U115" s="73">
        <f aca="true" t="shared" si="58" ref="U115:Z115">U116+U117+U118+U119</f>
        <v>0</v>
      </c>
      <c r="V115" s="73"/>
      <c r="W115" s="73">
        <f t="shared" si="58"/>
        <v>0</v>
      </c>
      <c r="X115" s="73">
        <f t="shared" si="58"/>
        <v>0</v>
      </c>
      <c r="Y115" s="73">
        <f t="shared" si="58"/>
        <v>0</v>
      </c>
      <c r="Z115" s="73">
        <f t="shared" si="58"/>
        <v>0</v>
      </c>
      <c r="AA115" s="77">
        <f>AA116+AA117+AA118+AA119</f>
        <v>0</v>
      </c>
      <c r="AB115" s="77">
        <f t="shared" si="52"/>
        <v>15637.2</v>
      </c>
    </row>
    <row r="116" spans="1:28" ht="33">
      <c r="A116" s="59"/>
      <c r="B116" s="63" t="s">
        <v>380</v>
      </c>
      <c r="C116" s="77">
        <v>14452.2</v>
      </c>
      <c r="D116" s="78"/>
      <c r="E116" s="78"/>
      <c r="F116" s="78"/>
      <c r="G116" s="78"/>
      <c r="H116" s="78"/>
      <c r="I116" s="78"/>
      <c r="J116" s="78"/>
      <c r="K116" s="77">
        <f>D116+E116+F116+G116+H116+I116+J116</f>
        <v>0</v>
      </c>
      <c r="L116" s="77">
        <f t="shared" si="44"/>
        <v>14452.2</v>
      </c>
      <c r="S116" s="77">
        <f>15552.2</f>
        <v>15552.2</v>
      </c>
      <c r="T116" s="77"/>
      <c r="U116" s="73"/>
      <c r="V116" s="73"/>
      <c r="W116" s="73"/>
      <c r="X116" s="73"/>
      <c r="Y116" s="73"/>
      <c r="Z116" s="73"/>
      <c r="AA116" s="77">
        <f>T116+U116+V116+W116+X116+Y116+Z116</f>
        <v>0</v>
      </c>
      <c r="AB116" s="77">
        <f t="shared" si="52"/>
        <v>15552.2</v>
      </c>
    </row>
    <row r="117" spans="1:28" ht="82.5">
      <c r="A117" s="59"/>
      <c r="B117" s="63" t="s">
        <v>381</v>
      </c>
      <c r="C117" s="77">
        <v>78.6</v>
      </c>
      <c r="D117" s="78"/>
      <c r="E117" s="78"/>
      <c r="F117" s="78">
        <v>0</v>
      </c>
      <c r="G117" s="78"/>
      <c r="H117" s="78"/>
      <c r="I117" s="78"/>
      <c r="J117" s="78"/>
      <c r="K117" s="77">
        <f>D117+E117+F117+G117+H117+I117+J117</f>
        <v>0</v>
      </c>
      <c r="L117" s="77">
        <f t="shared" si="44"/>
        <v>78.6</v>
      </c>
      <c r="S117" s="77">
        <f>55</f>
        <v>55</v>
      </c>
      <c r="T117" s="77"/>
      <c r="U117" s="73"/>
      <c r="V117" s="73">
        <v>0</v>
      </c>
      <c r="W117" s="73"/>
      <c r="X117" s="73"/>
      <c r="Y117" s="73"/>
      <c r="Z117" s="73"/>
      <c r="AA117" s="77">
        <f>T117+U117+V117+W117+X117+Y117+Z117</f>
        <v>0</v>
      </c>
      <c r="AB117" s="77">
        <f t="shared" si="52"/>
        <v>55</v>
      </c>
    </row>
    <row r="118" spans="1:28" ht="16.5" hidden="1">
      <c r="A118" s="59"/>
      <c r="B118" s="63" t="s">
        <v>175</v>
      </c>
      <c r="C118" s="77">
        <f>0</f>
        <v>0</v>
      </c>
      <c r="D118" s="78"/>
      <c r="E118" s="78"/>
      <c r="F118" s="78"/>
      <c r="G118" s="78"/>
      <c r="H118" s="78"/>
      <c r="I118" s="78"/>
      <c r="J118" s="78"/>
      <c r="K118" s="77">
        <f>D118+E118+F118+G118+H118+I118+J118</f>
        <v>0</v>
      </c>
      <c r="L118" s="77">
        <f t="shared" si="44"/>
        <v>0</v>
      </c>
      <c r="S118" s="77">
        <f>0</f>
        <v>0</v>
      </c>
      <c r="T118" s="77"/>
      <c r="U118" s="73"/>
      <c r="V118" s="73"/>
      <c r="W118" s="73"/>
      <c r="X118" s="73"/>
      <c r="Y118" s="73"/>
      <c r="Z118" s="73"/>
      <c r="AA118" s="77">
        <f>T118+U118+V118+W118+X118+Y118+Z118</f>
        <v>0</v>
      </c>
      <c r="AB118" s="77">
        <f t="shared" si="52"/>
        <v>0</v>
      </c>
    </row>
    <row r="119" spans="1:28" ht="16.5">
      <c r="A119" s="59"/>
      <c r="B119" s="92" t="s">
        <v>282</v>
      </c>
      <c r="C119" s="77">
        <v>0</v>
      </c>
      <c r="D119" s="78"/>
      <c r="E119" s="78"/>
      <c r="F119" s="78"/>
      <c r="G119" s="78"/>
      <c r="H119" s="78"/>
      <c r="I119" s="78"/>
      <c r="J119" s="78"/>
      <c r="K119" s="77">
        <f>D119+E119+F119+G119+H119+I119+J119</f>
        <v>0</v>
      </c>
      <c r="L119" s="77">
        <f t="shared" si="44"/>
        <v>0</v>
      </c>
      <c r="S119" s="77">
        <f>30</f>
        <v>30</v>
      </c>
      <c r="T119" s="77"/>
      <c r="U119" s="73"/>
      <c r="V119" s="73"/>
      <c r="W119" s="73"/>
      <c r="X119" s="73"/>
      <c r="Y119" s="73"/>
      <c r="Z119" s="73"/>
      <c r="AA119" s="77">
        <f>T119+U119+V119+W119+X119+Y119+Z119</f>
        <v>0</v>
      </c>
      <c r="AB119" s="77">
        <f t="shared" si="52"/>
        <v>30</v>
      </c>
    </row>
    <row r="120" spans="1:28" ht="16.5">
      <c r="A120" s="59" t="s">
        <v>176</v>
      </c>
      <c r="B120" s="63" t="s">
        <v>13</v>
      </c>
      <c r="C120" s="77">
        <v>4121.4</v>
      </c>
      <c r="D120" s="78"/>
      <c r="E120" s="78"/>
      <c r="F120" s="78"/>
      <c r="G120" s="78"/>
      <c r="H120" s="78"/>
      <c r="I120" s="78"/>
      <c r="J120" s="78"/>
      <c r="K120" s="77">
        <f>D120+E120+F120+G120+H120+I120+J120</f>
        <v>0</v>
      </c>
      <c r="L120" s="77">
        <f t="shared" si="44"/>
        <v>4121.4</v>
      </c>
      <c r="S120" s="77">
        <f>3927.4</f>
        <v>3927.4</v>
      </c>
      <c r="T120" s="77"/>
      <c r="U120" s="73"/>
      <c r="V120" s="73"/>
      <c r="W120" s="73"/>
      <c r="X120" s="73"/>
      <c r="Y120" s="73"/>
      <c r="Z120" s="73"/>
      <c r="AA120" s="77">
        <f>T120+U120+V120+W120+X120+Y120+Z120</f>
        <v>0</v>
      </c>
      <c r="AB120" s="77">
        <f t="shared" si="52"/>
        <v>3927.4</v>
      </c>
    </row>
    <row r="121" spans="1:28" s="1" customFormat="1" ht="16.5">
      <c r="A121" s="228" t="s">
        <v>177</v>
      </c>
      <c r="B121" s="229" t="s">
        <v>178</v>
      </c>
      <c r="C121" s="85">
        <f>C122+C126</f>
        <v>580</v>
      </c>
      <c r="D121" s="232">
        <f>D122+D126</f>
        <v>26483</v>
      </c>
      <c r="E121" s="232">
        <f aca="true" t="shared" si="59" ref="E121:J121">E122+E126</f>
        <v>0</v>
      </c>
      <c r="F121" s="232">
        <f t="shared" si="59"/>
        <v>0</v>
      </c>
      <c r="G121" s="232">
        <f t="shared" si="59"/>
        <v>0</v>
      </c>
      <c r="H121" s="232">
        <f t="shared" si="59"/>
        <v>0</v>
      </c>
      <c r="I121" s="232">
        <f t="shared" si="59"/>
        <v>0</v>
      </c>
      <c r="J121" s="232">
        <f t="shared" si="59"/>
        <v>0</v>
      </c>
      <c r="K121" s="85">
        <f>K122+K126</f>
        <v>25747.4</v>
      </c>
      <c r="L121" s="85">
        <f>C121+K121</f>
        <v>26327.4</v>
      </c>
      <c r="M121" s="134"/>
      <c r="N121" s="134"/>
      <c r="O121" s="134"/>
      <c r="P121" s="134"/>
      <c r="Q121" s="134"/>
      <c r="R121" s="233"/>
      <c r="S121" s="85">
        <f>S122+S126</f>
        <v>749.5</v>
      </c>
      <c r="T121" s="85">
        <f>T122+T126</f>
        <v>35589.9</v>
      </c>
      <c r="U121" s="85">
        <f aca="true" t="shared" si="60" ref="U121:Z121">U122+U126</f>
        <v>0</v>
      </c>
      <c r="V121" s="85">
        <f t="shared" si="60"/>
        <v>0</v>
      </c>
      <c r="W121" s="85">
        <f t="shared" si="60"/>
        <v>0</v>
      </c>
      <c r="X121" s="85">
        <f t="shared" si="60"/>
        <v>0</v>
      </c>
      <c r="Y121" s="85">
        <f t="shared" si="60"/>
        <v>0</v>
      </c>
      <c r="Z121" s="85">
        <f t="shared" si="60"/>
        <v>0</v>
      </c>
      <c r="AA121" s="85">
        <f>AA122+AA126</f>
        <v>35589.9</v>
      </c>
      <c r="AB121" s="85">
        <f t="shared" si="52"/>
        <v>36339.4</v>
      </c>
    </row>
    <row r="122" spans="1:28" ht="16.5">
      <c r="A122" s="59" t="s">
        <v>179</v>
      </c>
      <c r="B122" s="63" t="s">
        <v>382</v>
      </c>
      <c r="C122" s="77">
        <f>C123+C124+C125</f>
        <v>0</v>
      </c>
      <c r="D122" s="78">
        <f>D124</f>
        <v>26483</v>
      </c>
      <c r="E122" s="78"/>
      <c r="F122" s="78"/>
      <c r="G122" s="78"/>
      <c r="H122" s="78"/>
      <c r="I122" s="78"/>
      <c r="J122" s="78"/>
      <c r="K122" s="77">
        <f>K123+K124</f>
        <v>25747.4</v>
      </c>
      <c r="L122" s="77">
        <f t="shared" si="44"/>
        <v>25747.4</v>
      </c>
      <c r="S122" s="77">
        <f>S123+S124+S125</f>
        <v>0</v>
      </c>
      <c r="T122" s="77">
        <f>T124</f>
        <v>35589.9</v>
      </c>
      <c r="U122" s="73"/>
      <c r="V122" s="73"/>
      <c r="W122" s="73"/>
      <c r="X122" s="73"/>
      <c r="Y122" s="73"/>
      <c r="Z122" s="73"/>
      <c r="AA122" s="77">
        <f>AA123+AA124</f>
        <v>35589.9</v>
      </c>
      <c r="AB122" s="77">
        <f t="shared" si="52"/>
        <v>35589.9</v>
      </c>
    </row>
    <row r="123" spans="1:28" ht="16.5" hidden="1">
      <c r="A123" s="59"/>
      <c r="B123" s="63" t="s">
        <v>181</v>
      </c>
      <c r="C123" s="77">
        <f>0</f>
        <v>0</v>
      </c>
      <c r="D123" s="78"/>
      <c r="E123" s="78"/>
      <c r="F123" s="78"/>
      <c r="G123" s="78"/>
      <c r="H123" s="78"/>
      <c r="I123" s="78"/>
      <c r="J123" s="78"/>
      <c r="K123" s="77"/>
      <c r="L123" s="77"/>
      <c r="M123" s="3">
        <f>1900</f>
        <v>1900</v>
      </c>
      <c r="N123" s="3" t="s">
        <v>270</v>
      </c>
      <c r="S123" s="77">
        <f>0</f>
        <v>0</v>
      </c>
      <c r="T123" s="77"/>
      <c r="U123" s="73"/>
      <c r="V123" s="73"/>
      <c r="W123" s="73"/>
      <c r="X123" s="73"/>
      <c r="Y123" s="73"/>
      <c r="Z123" s="73"/>
      <c r="AA123" s="77"/>
      <c r="AB123" s="77"/>
    </row>
    <row r="124" spans="1:28" ht="16.5">
      <c r="A124" s="59"/>
      <c r="B124" s="63" t="s">
        <v>284</v>
      </c>
      <c r="C124" s="77"/>
      <c r="D124" s="78">
        <v>26483</v>
      </c>
      <c r="E124" s="78"/>
      <c r="F124" s="78"/>
      <c r="G124" s="78"/>
      <c r="H124" s="78"/>
      <c r="I124" s="78"/>
      <c r="J124" s="78"/>
      <c r="K124" s="77">
        <v>25747.4</v>
      </c>
      <c r="L124" s="77">
        <f t="shared" si="44"/>
        <v>25747.4</v>
      </c>
      <c r="M124" s="3">
        <v>1100</v>
      </c>
      <c r="N124" s="3" t="s">
        <v>285</v>
      </c>
      <c r="S124" s="77"/>
      <c r="T124" s="77">
        <f>35589.9</f>
        <v>35589.9</v>
      </c>
      <c r="U124" s="73"/>
      <c r="V124" s="73"/>
      <c r="W124" s="73"/>
      <c r="X124" s="73"/>
      <c r="Y124" s="73"/>
      <c r="Z124" s="73"/>
      <c r="AA124" s="77">
        <f>T124+U124+V124+W124+X124+Y124+Z124</f>
        <v>35589.9</v>
      </c>
      <c r="AB124" s="77">
        <f aca="true" t="shared" si="61" ref="AB124:AB132">S124+AA124</f>
        <v>35589.9</v>
      </c>
    </row>
    <row r="125" spans="1:28" ht="16.5">
      <c r="A125" s="59"/>
      <c r="B125" s="63" t="s">
        <v>181</v>
      </c>
      <c r="C125" s="77">
        <f>0</f>
        <v>0</v>
      </c>
      <c r="D125" s="78">
        <f>3762.4+5</f>
        <v>3767.4</v>
      </c>
      <c r="E125" s="78"/>
      <c r="F125" s="78"/>
      <c r="G125" s="78"/>
      <c r="H125" s="78"/>
      <c r="I125" s="78"/>
      <c r="J125" s="78"/>
      <c r="K125" s="77">
        <f>D125+E125+F125+G125+H125+I125+J125</f>
        <v>3767.4</v>
      </c>
      <c r="L125" s="77">
        <f t="shared" si="44"/>
        <v>3767.4</v>
      </c>
      <c r="S125" s="77">
        <f>0</f>
        <v>0</v>
      </c>
      <c r="T125" s="77">
        <f>4000</f>
        <v>4000</v>
      </c>
      <c r="U125" s="73"/>
      <c r="V125" s="73"/>
      <c r="W125" s="73"/>
      <c r="X125" s="73"/>
      <c r="Y125" s="73"/>
      <c r="Z125" s="73"/>
      <c r="AA125" s="77">
        <f>T125+U125+V125+W125+X125+Y125+Z125</f>
        <v>4000</v>
      </c>
      <c r="AB125" s="77">
        <f t="shared" si="61"/>
        <v>4000</v>
      </c>
    </row>
    <row r="126" spans="1:28" ht="33">
      <c r="A126" s="59" t="s">
        <v>183</v>
      </c>
      <c r="B126" s="63" t="s">
        <v>184</v>
      </c>
      <c r="C126" s="77">
        <f>C127+C128</f>
        <v>580</v>
      </c>
      <c r="D126" s="78">
        <f aca="true" t="shared" si="62" ref="D126:J126">D127+D128</f>
        <v>0</v>
      </c>
      <c r="E126" s="78">
        <f t="shared" si="62"/>
        <v>0</v>
      </c>
      <c r="F126" s="78">
        <f t="shared" si="62"/>
        <v>0</v>
      </c>
      <c r="G126" s="78">
        <f t="shared" si="62"/>
        <v>0</v>
      </c>
      <c r="H126" s="78">
        <f t="shared" si="62"/>
        <v>0</v>
      </c>
      <c r="I126" s="78">
        <f t="shared" si="62"/>
        <v>0</v>
      </c>
      <c r="J126" s="78">
        <f t="shared" si="62"/>
        <v>0</v>
      </c>
      <c r="K126" s="77">
        <f>D126+E126+F126+G126+H126+I126+J126</f>
        <v>0</v>
      </c>
      <c r="L126" s="77">
        <f t="shared" si="44"/>
        <v>580</v>
      </c>
      <c r="S126" s="77">
        <f>S127+S128</f>
        <v>749.5</v>
      </c>
      <c r="T126" s="77">
        <f aca="true" t="shared" si="63" ref="T126:Z126">T127+T128</f>
        <v>0</v>
      </c>
      <c r="U126" s="73">
        <f t="shared" si="63"/>
        <v>0</v>
      </c>
      <c r="V126" s="73">
        <f t="shared" si="63"/>
        <v>0</v>
      </c>
      <c r="W126" s="73">
        <f t="shared" si="63"/>
        <v>0</v>
      </c>
      <c r="X126" s="73">
        <f t="shared" si="63"/>
        <v>0</v>
      </c>
      <c r="Y126" s="73">
        <f t="shared" si="63"/>
        <v>0</v>
      </c>
      <c r="Z126" s="73">
        <f t="shared" si="63"/>
        <v>0</v>
      </c>
      <c r="AA126" s="77">
        <f>T126+U126+V126+W126+X126+Y126+Z126</f>
        <v>0</v>
      </c>
      <c r="AB126" s="77">
        <f t="shared" si="61"/>
        <v>749.5</v>
      </c>
    </row>
    <row r="127" spans="1:28" ht="26.25" customHeight="1">
      <c r="A127" s="59"/>
      <c r="B127" s="63" t="s">
        <v>147</v>
      </c>
      <c r="C127" s="77">
        <v>580</v>
      </c>
      <c r="D127" s="78"/>
      <c r="E127" s="78"/>
      <c r="F127" s="78"/>
      <c r="G127" s="78"/>
      <c r="H127" s="78"/>
      <c r="I127" s="78"/>
      <c r="J127" s="78"/>
      <c r="K127" s="77">
        <f>D127+E127+F127+G127+H127+I127+J127</f>
        <v>0</v>
      </c>
      <c r="L127" s="77">
        <f t="shared" si="44"/>
        <v>580</v>
      </c>
      <c r="S127" s="77">
        <f>749.5</f>
        <v>749.5</v>
      </c>
      <c r="T127" s="77"/>
      <c r="U127" s="73"/>
      <c r="V127" s="73"/>
      <c r="W127" s="73"/>
      <c r="X127" s="73"/>
      <c r="Y127" s="73"/>
      <c r="Z127" s="73"/>
      <c r="AA127" s="77">
        <f>T127+U127+V127+W127+X127+Y127+Z127</f>
        <v>0</v>
      </c>
      <c r="AB127" s="77">
        <f t="shared" si="61"/>
        <v>749.5</v>
      </c>
    </row>
    <row r="128" spans="1:28" ht="16.5">
      <c r="A128" s="59"/>
      <c r="B128" s="63" t="s">
        <v>100</v>
      </c>
      <c r="C128" s="77">
        <v>0</v>
      </c>
      <c r="D128" s="78"/>
      <c r="E128" s="78"/>
      <c r="F128" s="78"/>
      <c r="G128" s="78"/>
      <c r="H128" s="78"/>
      <c r="I128" s="78"/>
      <c r="J128" s="78"/>
      <c r="K128" s="77">
        <v>0</v>
      </c>
      <c r="L128" s="77">
        <f t="shared" si="44"/>
        <v>0</v>
      </c>
      <c r="S128" s="77">
        <v>0</v>
      </c>
      <c r="T128" s="77"/>
      <c r="U128" s="73"/>
      <c r="V128" s="73"/>
      <c r="W128" s="73"/>
      <c r="X128" s="73"/>
      <c r="Y128" s="73"/>
      <c r="Z128" s="73"/>
      <c r="AA128" s="77">
        <v>0</v>
      </c>
      <c r="AB128" s="77">
        <f t="shared" si="61"/>
        <v>0</v>
      </c>
    </row>
    <row r="129" spans="1:28" s="1" customFormat="1" ht="16.5">
      <c r="A129" s="228" t="s">
        <v>185</v>
      </c>
      <c r="B129" s="229" t="s">
        <v>186</v>
      </c>
      <c r="C129" s="85">
        <f>C130</f>
        <v>250</v>
      </c>
      <c r="D129" s="232">
        <f aca="true" t="shared" si="64" ref="D129:J129">D130</f>
        <v>50</v>
      </c>
      <c r="E129" s="232">
        <f t="shared" si="64"/>
        <v>0</v>
      </c>
      <c r="F129" s="232">
        <f t="shared" si="64"/>
        <v>0</v>
      </c>
      <c r="G129" s="232">
        <f t="shared" si="64"/>
        <v>0</v>
      </c>
      <c r="H129" s="232">
        <f t="shared" si="64"/>
        <v>0</v>
      </c>
      <c r="I129" s="232">
        <f t="shared" si="64"/>
        <v>0</v>
      </c>
      <c r="J129" s="232">
        <f t="shared" si="64"/>
        <v>0</v>
      </c>
      <c r="K129" s="85">
        <f>K130</f>
        <v>80</v>
      </c>
      <c r="L129" s="85">
        <f t="shared" si="44"/>
        <v>330</v>
      </c>
      <c r="M129" s="134"/>
      <c r="N129" s="134"/>
      <c r="O129" s="134"/>
      <c r="P129" s="134"/>
      <c r="Q129" s="134"/>
      <c r="R129" s="233"/>
      <c r="S129" s="85">
        <f>S130</f>
        <v>370</v>
      </c>
      <c r="T129" s="85">
        <f aca="true" t="shared" si="65" ref="T129:Z129">T130</f>
        <v>100</v>
      </c>
      <c r="U129" s="85">
        <f t="shared" si="65"/>
        <v>0</v>
      </c>
      <c r="V129" s="85">
        <f t="shared" si="65"/>
        <v>0</v>
      </c>
      <c r="W129" s="85">
        <f t="shared" si="65"/>
        <v>0</v>
      </c>
      <c r="X129" s="85">
        <f t="shared" si="65"/>
        <v>0</v>
      </c>
      <c r="Y129" s="85">
        <f t="shared" si="65"/>
        <v>0</v>
      </c>
      <c r="Z129" s="85">
        <f t="shared" si="65"/>
        <v>0</v>
      </c>
      <c r="AA129" s="85">
        <f>AA130</f>
        <v>100</v>
      </c>
      <c r="AB129" s="85">
        <f t="shared" si="61"/>
        <v>470</v>
      </c>
    </row>
    <row r="130" spans="1:28" ht="16.5">
      <c r="A130" s="59" t="s">
        <v>187</v>
      </c>
      <c r="B130" s="63" t="s">
        <v>9</v>
      </c>
      <c r="C130" s="77">
        <v>250</v>
      </c>
      <c r="D130" s="78">
        <v>50</v>
      </c>
      <c r="E130" s="78"/>
      <c r="F130" s="78"/>
      <c r="G130" s="78"/>
      <c r="H130" s="78"/>
      <c r="I130" s="78"/>
      <c r="J130" s="78"/>
      <c r="K130" s="77">
        <v>80</v>
      </c>
      <c r="L130" s="77">
        <f t="shared" si="44"/>
        <v>330</v>
      </c>
      <c r="S130" s="77">
        <f>370</f>
        <v>370</v>
      </c>
      <c r="T130" s="77">
        <f>100</f>
        <v>100</v>
      </c>
      <c r="U130" s="73"/>
      <c r="V130" s="73"/>
      <c r="W130" s="73"/>
      <c r="X130" s="73"/>
      <c r="Y130" s="73"/>
      <c r="Z130" s="73"/>
      <c r="AA130" s="77">
        <f>T130+U130+V130+W130+X130+Y130+Z130</f>
        <v>100</v>
      </c>
      <c r="AB130" s="77">
        <f t="shared" si="61"/>
        <v>470</v>
      </c>
    </row>
    <row r="131" spans="1:28" s="1" customFormat="1" ht="43.5" customHeight="1">
      <c r="A131" s="228" t="s">
        <v>188</v>
      </c>
      <c r="B131" s="229" t="s">
        <v>189</v>
      </c>
      <c r="C131" s="85">
        <f>C132</f>
        <v>1000</v>
      </c>
      <c r="D131" s="232">
        <f aca="true" t="shared" si="66" ref="D131:J131">D132</f>
        <v>0</v>
      </c>
      <c r="E131" s="232">
        <f t="shared" si="66"/>
        <v>0</v>
      </c>
      <c r="F131" s="232">
        <f t="shared" si="66"/>
        <v>0</v>
      </c>
      <c r="G131" s="232">
        <f t="shared" si="66"/>
        <v>0</v>
      </c>
      <c r="H131" s="232">
        <f t="shared" si="66"/>
        <v>0</v>
      </c>
      <c r="I131" s="232">
        <f t="shared" si="66"/>
        <v>0</v>
      </c>
      <c r="J131" s="232">
        <f t="shared" si="66"/>
        <v>0</v>
      </c>
      <c r="K131" s="85">
        <f>K132</f>
        <v>0</v>
      </c>
      <c r="L131" s="85">
        <f t="shared" si="44"/>
        <v>1000</v>
      </c>
      <c r="M131" s="134"/>
      <c r="N131" s="134"/>
      <c r="O131" s="134"/>
      <c r="P131" s="134"/>
      <c r="Q131" s="134"/>
      <c r="R131" s="233"/>
      <c r="S131" s="85">
        <f>S132</f>
        <v>520</v>
      </c>
      <c r="T131" s="85">
        <f aca="true" t="shared" si="67" ref="T131:Z131">T132</f>
        <v>0</v>
      </c>
      <c r="U131" s="85">
        <f t="shared" si="67"/>
        <v>0</v>
      </c>
      <c r="V131" s="85">
        <f t="shared" si="67"/>
        <v>0</v>
      </c>
      <c r="W131" s="85">
        <f t="shared" si="67"/>
        <v>0</v>
      </c>
      <c r="X131" s="85">
        <f t="shared" si="67"/>
        <v>0</v>
      </c>
      <c r="Y131" s="85">
        <f t="shared" si="67"/>
        <v>0</v>
      </c>
      <c r="Z131" s="85">
        <f t="shared" si="67"/>
        <v>0</v>
      </c>
      <c r="AA131" s="85">
        <f>AA132</f>
        <v>0</v>
      </c>
      <c r="AB131" s="85">
        <f t="shared" si="61"/>
        <v>520</v>
      </c>
    </row>
    <row r="132" spans="1:28" ht="25.5" customHeight="1">
      <c r="A132" s="59" t="s">
        <v>190</v>
      </c>
      <c r="B132" s="63" t="s">
        <v>8</v>
      </c>
      <c r="C132" s="77">
        <v>1000</v>
      </c>
      <c r="D132" s="78"/>
      <c r="E132" s="78"/>
      <c r="F132" s="78"/>
      <c r="G132" s="78"/>
      <c r="H132" s="78"/>
      <c r="I132" s="78"/>
      <c r="J132" s="78"/>
      <c r="K132" s="77">
        <f>D132+E132+F132+G132+H132+I132+J132</f>
        <v>0</v>
      </c>
      <c r="L132" s="77">
        <f t="shared" si="44"/>
        <v>1000</v>
      </c>
      <c r="S132" s="77">
        <f>520</f>
        <v>520</v>
      </c>
      <c r="T132" s="77"/>
      <c r="U132" s="73"/>
      <c r="V132" s="73"/>
      <c r="W132" s="73"/>
      <c r="X132" s="73"/>
      <c r="Y132" s="73"/>
      <c r="Z132" s="73"/>
      <c r="AA132" s="77">
        <f>T132+U132+V132+W132+X132+Y132+Z132</f>
        <v>0</v>
      </c>
      <c r="AB132" s="77">
        <f t="shared" si="61"/>
        <v>520</v>
      </c>
    </row>
    <row r="133" spans="1:28" s="27" customFormat="1" ht="63">
      <c r="A133" s="56" t="s">
        <v>191</v>
      </c>
      <c r="B133" s="93" t="s">
        <v>369</v>
      </c>
      <c r="C133" s="85">
        <f>C134+C137</f>
        <v>5130.9</v>
      </c>
      <c r="D133" s="85">
        <f aca="true" t="shared" si="68" ref="D133:K133">D134+D137</f>
        <v>0</v>
      </c>
      <c r="E133" s="85">
        <f t="shared" si="68"/>
        <v>0</v>
      </c>
      <c r="F133" s="85">
        <f t="shared" si="68"/>
        <v>0</v>
      </c>
      <c r="G133" s="85">
        <f t="shared" si="68"/>
        <v>0</v>
      </c>
      <c r="H133" s="85">
        <f t="shared" si="68"/>
        <v>0</v>
      </c>
      <c r="I133" s="85">
        <f t="shared" si="68"/>
        <v>0</v>
      </c>
      <c r="J133" s="85">
        <f t="shared" si="68"/>
        <v>0</v>
      </c>
      <c r="K133" s="85">
        <f t="shared" si="68"/>
        <v>0</v>
      </c>
      <c r="L133" s="85">
        <v>0</v>
      </c>
      <c r="R133" s="94"/>
      <c r="S133" s="85">
        <f>S134+S137</f>
        <v>2669.9</v>
      </c>
      <c r="T133" s="85">
        <f aca="true" t="shared" si="69" ref="T133:AA133">T134+T137</f>
        <v>0</v>
      </c>
      <c r="U133" s="85">
        <f t="shared" si="69"/>
        <v>0</v>
      </c>
      <c r="V133" s="85">
        <f t="shared" si="69"/>
        <v>0</v>
      </c>
      <c r="W133" s="85">
        <f t="shared" si="69"/>
        <v>0</v>
      </c>
      <c r="X133" s="85">
        <f t="shared" si="69"/>
        <v>0</v>
      </c>
      <c r="Y133" s="85">
        <f t="shared" si="69"/>
        <v>0</v>
      </c>
      <c r="Z133" s="85">
        <f t="shared" si="69"/>
        <v>0</v>
      </c>
      <c r="AA133" s="85">
        <f t="shared" si="69"/>
        <v>0</v>
      </c>
      <c r="AB133" s="85">
        <v>0</v>
      </c>
    </row>
    <row r="134" spans="1:28" ht="22.5" customHeight="1">
      <c r="A134" s="59" t="s">
        <v>193</v>
      </c>
      <c r="B134" s="63" t="s">
        <v>286</v>
      </c>
      <c r="C134" s="89">
        <f>C135+C136</f>
        <v>4101.7</v>
      </c>
      <c r="D134" s="78"/>
      <c r="E134" s="78"/>
      <c r="F134" s="78"/>
      <c r="G134" s="78"/>
      <c r="H134" s="78"/>
      <c r="I134" s="78"/>
      <c r="J134" s="78"/>
      <c r="K134" s="77">
        <f>D134+E134+F134+G134+H134+I134+J134</f>
        <v>0</v>
      </c>
      <c r="L134" s="89">
        <f t="shared" si="44"/>
        <v>4101.7</v>
      </c>
      <c r="S134" s="77">
        <f>S135+S136</f>
        <v>2669.9</v>
      </c>
      <c r="T134" s="77"/>
      <c r="U134" s="73"/>
      <c r="V134" s="73"/>
      <c r="W134" s="73"/>
      <c r="X134" s="73"/>
      <c r="Y134" s="73"/>
      <c r="Z134" s="73"/>
      <c r="AA134" s="77">
        <f>T134+U134+V134+W134+X134+Y134+Z134</f>
        <v>0</v>
      </c>
      <c r="AB134" s="77">
        <f>S134+AA134</f>
        <v>2669.9</v>
      </c>
    </row>
    <row r="135" spans="1:28" ht="47.25" hidden="1">
      <c r="A135" s="59"/>
      <c r="B135" s="86" t="s">
        <v>195</v>
      </c>
      <c r="C135" s="89">
        <f>(1702.8-8.2-0-3.5+145.6-8.5-5.1)</f>
        <v>1823.1</v>
      </c>
      <c r="D135" s="78"/>
      <c r="E135" s="78"/>
      <c r="F135" s="78"/>
      <c r="G135" s="78"/>
      <c r="H135" s="78"/>
      <c r="I135" s="78"/>
      <c r="J135" s="78"/>
      <c r="K135" s="77">
        <f>D135+E135+F135+G135+H135+I135+J135</f>
        <v>0</v>
      </c>
      <c r="L135" s="89">
        <f t="shared" si="44"/>
        <v>1823.1</v>
      </c>
      <c r="S135" s="77">
        <f>0</f>
        <v>0</v>
      </c>
      <c r="T135" s="77"/>
      <c r="U135" s="73"/>
      <c r="V135" s="73"/>
      <c r="W135" s="73"/>
      <c r="X135" s="73"/>
      <c r="Y135" s="73"/>
      <c r="Z135" s="73"/>
      <c r="AA135" s="77">
        <f>T135+U135+V135+W135+X135+Y135+Z135</f>
        <v>0</v>
      </c>
      <c r="AB135" s="77">
        <f>S135+AA135</f>
        <v>0</v>
      </c>
    </row>
    <row r="136" spans="1:28" ht="47.25">
      <c r="A136" s="59"/>
      <c r="B136" s="86" t="s">
        <v>196</v>
      </c>
      <c r="C136" s="77">
        <v>2278.6</v>
      </c>
      <c r="D136" s="78"/>
      <c r="E136" s="78"/>
      <c r="F136" s="78"/>
      <c r="G136" s="78"/>
      <c r="H136" s="78"/>
      <c r="I136" s="78"/>
      <c r="J136" s="78"/>
      <c r="K136" s="77">
        <f>D136+E136+F136+G136+H136+I136+J136</f>
        <v>0</v>
      </c>
      <c r="L136" s="77">
        <f t="shared" si="44"/>
        <v>2278.6</v>
      </c>
      <c r="S136" s="77">
        <f>2669.9</f>
        <v>2669.9</v>
      </c>
      <c r="T136" s="77"/>
      <c r="U136" s="73"/>
      <c r="V136" s="73"/>
      <c r="W136" s="73"/>
      <c r="X136" s="73"/>
      <c r="Y136" s="73"/>
      <c r="Z136" s="73"/>
      <c r="AA136" s="77">
        <f>T136+U136+V136+W136+X136+Y136+Z136</f>
        <v>0</v>
      </c>
      <c r="AB136" s="77">
        <f>S136+AA136</f>
        <v>2669.9</v>
      </c>
    </row>
    <row r="137" spans="1:28" ht="16.5" hidden="1">
      <c r="A137" s="59" t="s">
        <v>197</v>
      </c>
      <c r="B137" s="63" t="s">
        <v>7</v>
      </c>
      <c r="C137" s="89">
        <f>(1192.5-8.7-154.6)</f>
        <v>1029.2</v>
      </c>
      <c r="D137" s="78"/>
      <c r="E137" s="78"/>
      <c r="F137" s="78"/>
      <c r="G137" s="78"/>
      <c r="H137" s="78"/>
      <c r="I137" s="78"/>
      <c r="J137" s="78"/>
      <c r="K137" s="77">
        <f>D137+E137+F137+G137+H137+I137+J137</f>
        <v>0</v>
      </c>
      <c r="L137" s="89">
        <f t="shared" si="44"/>
        <v>1029.2</v>
      </c>
      <c r="S137" s="77">
        <f>0</f>
        <v>0</v>
      </c>
      <c r="T137" s="77"/>
      <c r="U137" s="73"/>
      <c r="V137" s="73"/>
      <c r="W137" s="73"/>
      <c r="X137" s="73"/>
      <c r="Y137" s="73"/>
      <c r="Z137" s="73"/>
      <c r="AA137" s="77">
        <f>T137+U137+V137+W137+X137+Y137+Z137</f>
        <v>0</v>
      </c>
      <c r="AB137" s="77">
        <f>S137+AA137</f>
        <v>0</v>
      </c>
    </row>
    <row r="138" spans="1:28" s="1" customFormat="1" ht="32.25" customHeight="1">
      <c r="A138" s="137"/>
      <c r="B138" s="138" t="s">
        <v>198</v>
      </c>
      <c r="C138" s="238">
        <f aca="true" t="shared" si="70" ref="C138:K138">C7+C30+C32+C38+C49+C67+C69+C94+C105+C113+C121+C129+C131+C133</f>
        <v>614679.1</v>
      </c>
      <c r="D138" s="238">
        <f t="shared" si="70"/>
        <v>61848.1</v>
      </c>
      <c r="E138" s="238">
        <f t="shared" si="70"/>
        <v>2423.5</v>
      </c>
      <c r="F138" s="238">
        <f t="shared" si="70"/>
        <v>2811.6</v>
      </c>
      <c r="G138" s="238">
        <f t="shared" si="70"/>
        <v>1984.4</v>
      </c>
      <c r="H138" s="238">
        <f t="shared" si="70"/>
        <v>2792.2</v>
      </c>
      <c r="I138" s="238">
        <f t="shared" si="70"/>
        <v>2397.3</v>
      </c>
      <c r="J138" s="238">
        <f t="shared" si="70"/>
        <v>2879.4</v>
      </c>
      <c r="K138" s="238">
        <f t="shared" si="70"/>
        <v>85592.4</v>
      </c>
      <c r="L138" s="238">
        <f>L7+L30+L32+L38+L49+L67+L69+L94+L105+L113+L121+L129+L131+L133+5173.9+10574.5</f>
        <v>708198.3</v>
      </c>
      <c r="M138" s="134"/>
      <c r="N138" s="134"/>
      <c r="O138" s="134"/>
      <c r="P138" s="134"/>
      <c r="Q138" s="134"/>
      <c r="R138" s="233"/>
      <c r="S138" s="238">
        <f aca="true" t="shared" si="71" ref="S138:AA138">S7+S30+S32+S38+S49+S67+S69+S94+S105+S113+S121+S129+S131+S133</f>
        <v>642540.6</v>
      </c>
      <c r="T138" s="238">
        <f t="shared" si="71"/>
        <v>82014.1</v>
      </c>
      <c r="U138" s="238">
        <f t="shared" si="71"/>
        <v>5978.2</v>
      </c>
      <c r="V138" s="238">
        <f t="shared" si="71"/>
        <v>4861.8</v>
      </c>
      <c r="W138" s="238">
        <f t="shared" si="71"/>
        <v>3299.7999999999997</v>
      </c>
      <c r="X138" s="238">
        <f t="shared" si="71"/>
        <v>5654.9</v>
      </c>
      <c r="Y138" s="238">
        <f t="shared" si="71"/>
        <v>3596.4999999999995</v>
      </c>
      <c r="Z138" s="238">
        <f t="shared" si="71"/>
        <v>4492.199999999999</v>
      </c>
      <c r="AA138" s="238">
        <f t="shared" si="71"/>
        <v>109897.5</v>
      </c>
      <c r="AB138" s="238">
        <f>AB7+AB30+AB32+AB38+AB49+AB67+AB69+AB94+AB105+AB113+AB121+AB129+AB131+AB133+AA15+AA56+S136</f>
        <v>740825.7000000001</v>
      </c>
    </row>
    <row r="139" spans="1:28" ht="33">
      <c r="A139" s="59"/>
      <c r="B139" s="63" t="s">
        <v>287</v>
      </c>
      <c r="C139" s="77">
        <f>C30+C133</f>
        <v>5130.9</v>
      </c>
      <c r="D139" s="77">
        <f aca="true" t="shared" si="72" ref="D139:K139">D15+D29+D44+D56</f>
        <v>0</v>
      </c>
      <c r="E139" s="77">
        <f t="shared" si="72"/>
        <v>14.3</v>
      </c>
      <c r="F139" s="77">
        <f t="shared" si="72"/>
        <v>15.6</v>
      </c>
      <c r="G139" s="77">
        <f t="shared" si="72"/>
        <v>14</v>
      </c>
      <c r="H139" s="77">
        <f t="shared" si="72"/>
        <v>19.3</v>
      </c>
      <c r="I139" s="77">
        <f t="shared" si="72"/>
        <v>11.8</v>
      </c>
      <c r="J139" s="77">
        <f t="shared" si="72"/>
        <v>15.3</v>
      </c>
      <c r="K139" s="77">
        <f t="shared" si="72"/>
        <v>2690.7</v>
      </c>
      <c r="L139" s="77">
        <f>C139+K139</f>
        <v>7821.599999999999</v>
      </c>
      <c r="R139" s="79">
        <f>L138-L139</f>
        <v>700376.7000000001</v>
      </c>
      <c r="S139" s="77">
        <f>S30+S133</f>
        <v>2669.9</v>
      </c>
      <c r="T139" s="77">
        <f aca="true" t="shared" si="73" ref="T139:Z139">T15+T29+T44+T56</f>
        <v>0</v>
      </c>
      <c r="U139" s="77">
        <f t="shared" si="73"/>
        <v>1635</v>
      </c>
      <c r="V139" s="77">
        <f t="shared" si="73"/>
        <v>1235</v>
      </c>
      <c r="W139" s="77">
        <f t="shared" si="73"/>
        <v>1225</v>
      </c>
      <c r="X139" s="77">
        <f t="shared" si="73"/>
        <v>1338</v>
      </c>
      <c r="Y139" s="77">
        <f t="shared" si="73"/>
        <v>428</v>
      </c>
      <c r="Z139" s="77">
        <f t="shared" si="73"/>
        <v>1030</v>
      </c>
      <c r="AA139" s="77">
        <f>AA15+AA29+AA44+AA56</f>
        <v>6891</v>
      </c>
      <c r="AB139" s="77">
        <f>S139+AA139</f>
        <v>9560.9</v>
      </c>
    </row>
    <row r="140" spans="1:28" s="1" customFormat="1" ht="37.5">
      <c r="A140" s="56"/>
      <c r="B140" s="13" t="s">
        <v>200</v>
      </c>
      <c r="C140" s="95">
        <f>C138-C139</f>
        <v>609548.2</v>
      </c>
      <c r="D140" s="95">
        <f aca="true" t="shared" si="74" ref="D140:J140">D138-D139</f>
        <v>61848.1</v>
      </c>
      <c r="E140" s="95">
        <f t="shared" si="74"/>
        <v>2409.2</v>
      </c>
      <c r="F140" s="95">
        <f t="shared" si="74"/>
        <v>2796</v>
      </c>
      <c r="G140" s="95">
        <f t="shared" si="74"/>
        <v>1970.4</v>
      </c>
      <c r="H140" s="95">
        <f t="shared" si="74"/>
        <v>2772.8999999999996</v>
      </c>
      <c r="I140" s="95">
        <f t="shared" si="74"/>
        <v>2385.5</v>
      </c>
      <c r="J140" s="95">
        <f t="shared" si="74"/>
        <v>2864.1</v>
      </c>
      <c r="K140" s="95">
        <f>K138-K139</f>
        <v>82901.7</v>
      </c>
      <c r="L140" s="95">
        <f>C140+K140</f>
        <v>692449.8999999999</v>
      </c>
      <c r="R140" s="87"/>
      <c r="S140" s="95">
        <f>S138-S139</f>
        <v>639870.7</v>
      </c>
      <c r="T140" s="95">
        <f aca="true" t="shared" si="75" ref="T140:Z140">T138-T139</f>
        <v>82014.1</v>
      </c>
      <c r="U140" s="95">
        <f t="shared" si="75"/>
        <v>4343.2</v>
      </c>
      <c r="V140" s="95">
        <f t="shared" si="75"/>
        <v>3626.8</v>
      </c>
      <c r="W140" s="95">
        <f t="shared" si="75"/>
        <v>2074.7999999999997</v>
      </c>
      <c r="X140" s="95">
        <f t="shared" si="75"/>
        <v>4316.9</v>
      </c>
      <c r="Y140" s="95">
        <f t="shared" si="75"/>
        <v>3168.4999999999995</v>
      </c>
      <c r="Z140" s="95">
        <f t="shared" si="75"/>
        <v>3462.199999999999</v>
      </c>
      <c r="AA140" s="95">
        <f>AA138-AA139</f>
        <v>103006.5</v>
      </c>
      <c r="AB140" s="95">
        <f>S140+AA140</f>
        <v>742877.2</v>
      </c>
    </row>
    <row r="141" spans="1:28" s="134" customFormat="1" ht="45.75" customHeight="1">
      <c r="A141" s="228"/>
      <c r="B141" s="229" t="s">
        <v>201</v>
      </c>
      <c r="C141" s="85">
        <f>0</f>
        <v>0</v>
      </c>
      <c r="D141" s="105">
        <v>0</v>
      </c>
      <c r="E141" s="105">
        <v>0</v>
      </c>
      <c r="F141" s="105">
        <v>0</v>
      </c>
      <c r="G141" s="105">
        <v>0</v>
      </c>
      <c r="H141" s="105">
        <v>0</v>
      </c>
      <c r="I141" s="105">
        <v>0</v>
      </c>
      <c r="J141" s="105">
        <v>0</v>
      </c>
      <c r="K141" s="85">
        <v>0</v>
      </c>
      <c r="L141" s="85">
        <f>0</f>
        <v>0</v>
      </c>
      <c r="R141" s="233"/>
      <c r="S141" s="85">
        <f>9600</f>
        <v>9600</v>
      </c>
      <c r="T141" s="85">
        <v>0</v>
      </c>
      <c r="U141" s="85">
        <v>0</v>
      </c>
      <c r="V141" s="85">
        <v>0</v>
      </c>
      <c r="W141" s="85">
        <v>0</v>
      </c>
      <c r="X141" s="85">
        <v>0</v>
      </c>
      <c r="Y141" s="85">
        <v>0</v>
      </c>
      <c r="Z141" s="85">
        <v>0</v>
      </c>
      <c r="AA141" s="85">
        <v>0</v>
      </c>
      <c r="AB141" s="85">
        <v>8000</v>
      </c>
    </row>
    <row r="142" spans="1:28" s="134" customFormat="1" ht="53.25" customHeight="1">
      <c r="A142" s="228"/>
      <c r="B142" s="229" t="s">
        <v>202</v>
      </c>
      <c r="C142" s="85">
        <f>C143+C144+C145+C146+C147</f>
        <v>0</v>
      </c>
      <c r="D142" s="105"/>
      <c r="E142" s="105"/>
      <c r="F142" s="105"/>
      <c r="G142" s="105"/>
      <c r="H142" s="105"/>
      <c r="I142" s="105"/>
      <c r="J142" s="105"/>
      <c r="K142" s="85">
        <f>K143+K144</f>
        <v>0</v>
      </c>
      <c r="L142" s="85">
        <f t="shared" si="44"/>
        <v>0</v>
      </c>
      <c r="R142" s="234"/>
      <c r="S142" s="85">
        <f>-9600</f>
        <v>-9600</v>
      </c>
      <c r="T142" s="85"/>
      <c r="U142" s="85"/>
      <c r="V142" s="85"/>
      <c r="W142" s="85"/>
      <c r="X142" s="85"/>
      <c r="Y142" s="85"/>
      <c r="Z142" s="85"/>
      <c r="AA142" s="85">
        <f>AA143+AA144</f>
        <v>0</v>
      </c>
      <c r="AB142" s="85">
        <f aca="true" t="shared" si="76" ref="AB142:AB147">S142+AA142</f>
        <v>-9600</v>
      </c>
    </row>
    <row r="143" spans="1:28" ht="44.25" customHeight="1">
      <c r="A143" s="67"/>
      <c r="B143" s="86" t="s">
        <v>203</v>
      </c>
      <c r="C143" s="77">
        <v>15500</v>
      </c>
      <c r="D143" s="96"/>
      <c r="E143" s="96"/>
      <c r="F143" s="96"/>
      <c r="G143" s="96"/>
      <c r="H143" s="96"/>
      <c r="I143" s="96"/>
      <c r="J143" s="96"/>
      <c r="K143" s="77">
        <f>0</f>
        <v>0</v>
      </c>
      <c r="L143" s="77">
        <f t="shared" si="44"/>
        <v>15500</v>
      </c>
      <c r="S143" s="77">
        <f>0</f>
        <v>0</v>
      </c>
      <c r="T143" s="77"/>
      <c r="U143" s="77"/>
      <c r="V143" s="77"/>
      <c r="W143" s="77"/>
      <c r="X143" s="77"/>
      <c r="Y143" s="77"/>
      <c r="Z143" s="77"/>
      <c r="AA143" s="77">
        <f>0</f>
        <v>0</v>
      </c>
      <c r="AB143" s="77">
        <f t="shared" si="76"/>
        <v>0</v>
      </c>
    </row>
    <row r="144" spans="1:28" ht="44.25" customHeight="1">
      <c r="A144" s="59"/>
      <c r="B144" s="97" t="s">
        <v>204</v>
      </c>
      <c r="C144" s="77">
        <v>-8000</v>
      </c>
      <c r="D144" s="96"/>
      <c r="E144" s="96"/>
      <c r="F144" s="96"/>
      <c r="G144" s="96"/>
      <c r="H144" s="96"/>
      <c r="I144" s="96"/>
      <c r="J144" s="96"/>
      <c r="K144" s="77">
        <f>0</f>
        <v>0</v>
      </c>
      <c r="L144" s="77">
        <f t="shared" si="44"/>
        <v>-8000</v>
      </c>
      <c r="S144" s="77">
        <f>-9600</f>
        <v>-9600</v>
      </c>
      <c r="T144" s="77"/>
      <c r="U144" s="77"/>
      <c r="V144" s="77"/>
      <c r="W144" s="77"/>
      <c r="X144" s="77"/>
      <c r="Y144" s="77"/>
      <c r="Z144" s="77"/>
      <c r="AA144" s="77">
        <f>0</f>
        <v>0</v>
      </c>
      <c r="AB144" s="77">
        <f t="shared" si="76"/>
        <v>-9600</v>
      </c>
    </row>
    <row r="145" spans="1:28" ht="63">
      <c r="A145" s="59"/>
      <c r="B145" s="97" t="s">
        <v>12</v>
      </c>
      <c r="C145" s="77">
        <v>0</v>
      </c>
      <c r="D145" s="96"/>
      <c r="E145" s="96"/>
      <c r="F145" s="96"/>
      <c r="G145" s="96"/>
      <c r="H145" s="96"/>
      <c r="I145" s="96"/>
      <c r="J145" s="96"/>
      <c r="K145" s="77">
        <v>0</v>
      </c>
      <c r="L145" s="77">
        <f t="shared" si="44"/>
        <v>0</v>
      </c>
      <c r="S145" s="77">
        <v>0</v>
      </c>
      <c r="T145" s="77"/>
      <c r="U145" s="77"/>
      <c r="V145" s="77"/>
      <c r="W145" s="77"/>
      <c r="X145" s="77"/>
      <c r="Y145" s="77"/>
      <c r="Z145" s="77"/>
      <c r="AA145" s="77">
        <v>0</v>
      </c>
      <c r="AB145" s="77">
        <f t="shared" si="76"/>
        <v>0</v>
      </c>
    </row>
    <row r="146" spans="1:28" ht="63">
      <c r="A146" s="59"/>
      <c r="B146" s="97" t="s">
        <v>5</v>
      </c>
      <c r="C146" s="77">
        <v>-7500</v>
      </c>
      <c r="D146" s="96"/>
      <c r="E146" s="96"/>
      <c r="F146" s="96"/>
      <c r="G146" s="96"/>
      <c r="H146" s="96"/>
      <c r="I146" s="96"/>
      <c r="J146" s="96"/>
      <c r="K146" s="77">
        <v>0</v>
      </c>
      <c r="L146" s="77">
        <f t="shared" si="44"/>
        <v>-7500</v>
      </c>
      <c r="S146" s="77">
        <f>0</f>
        <v>0</v>
      </c>
      <c r="T146" s="77"/>
      <c r="U146" s="77"/>
      <c r="V146" s="77"/>
      <c r="W146" s="77"/>
      <c r="X146" s="77"/>
      <c r="Y146" s="77"/>
      <c r="Z146" s="77"/>
      <c r="AA146" s="77">
        <v>0</v>
      </c>
      <c r="AB146" s="77">
        <f t="shared" si="76"/>
        <v>0</v>
      </c>
    </row>
    <row r="147" spans="1:28" ht="16.5">
      <c r="A147" s="59"/>
      <c r="B147" s="88" t="s">
        <v>206</v>
      </c>
      <c r="C147" s="77">
        <v>0</v>
      </c>
      <c r="D147" s="96"/>
      <c r="E147" s="96"/>
      <c r="F147" s="96"/>
      <c r="G147" s="96"/>
      <c r="H147" s="96"/>
      <c r="I147" s="96"/>
      <c r="J147" s="96"/>
      <c r="K147" s="77">
        <v>0</v>
      </c>
      <c r="L147" s="77">
        <f t="shared" si="44"/>
        <v>0</v>
      </c>
      <c r="S147" s="77">
        <v>0</v>
      </c>
      <c r="T147" s="77"/>
      <c r="U147" s="77"/>
      <c r="V147" s="77"/>
      <c r="W147" s="77"/>
      <c r="X147" s="77"/>
      <c r="Y147" s="77"/>
      <c r="Z147" s="77"/>
      <c r="AA147" s="77">
        <v>0</v>
      </c>
      <c r="AB147" s="77">
        <f t="shared" si="76"/>
        <v>0</v>
      </c>
    </row>
    <row r="148" spans="1:28" ht="16.5">
      <c r="A148" s="98"/>
      <c r="B148" s="99"/>
      <c r="C148" s="100"/>
      <c r="D148" s="100"/>
      <c r="E148" s="100"/>
      <c r="F148" s="100"/>
      <c r="G148" s="100"/>
      <c r="H148" s="100"/>
      <c r="I148" s="100"/>
      <c r="J148" s="100"/>
      <c r="K148" s="77"/>
      <c r="L148" s="77"/>
      <c r="S148" s="100"/>
      <c r="T148" s="240"/>
      <c r="U148" s="240"/>
      <c r="V148" s="240"/>
      <c r="W148" s="240"/>
      <c r="X148" s="240"/>
      <c r="Y148" s="240"/>
      <c r="Z148" s="240"/>
      <c r="AA148" s="77"/>
      <c r="AB148" s="77"/>
    </row>
    <row r="149" spans="1:28" ht="16.5">
      <c r="A149" s="67"/>
      <c r="B149" s="63"/>
      <c r="C149" s="96"/>
      <c r="D149" s="96"/>
      <c r="E149" s="96"/>
      <c r="F149" s="96"/>
      <c r="G149" s="96"/>
      <c r="H149" s="96"/>
      <c r="I149" s="96"/>
      <c r="J149" s="96"/>
      <c r="K149" s="77"/>
      <c r="L149" s="77"/>
      <c r="S149" s="96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26" ht="16.5">
      <c r="A150" s="2"/>
      <c r="C150" s="101"/>
      <c r="D150" s="101"/>
      <c r="E150" s="101"/>
      <c r="F150" s="101"/>
      <c r="G150" s="101"/>
      <c r="H150" s="101"/>
      <c r="I150" s="101"/>
      <c r="J150" s="101"/>
      <c r="S150" s="101"/>
      <c r="T150" s="241"/>
      <c r="U150" s="241"/>
      <c r="V150" s="241"/>
      <c r="W150" s="241"/>
      <c r="X150" s="241"/>
      <c r="Y150" s="241"/>
      <c r="Z150" s="241"/>
    </row>
    <row r="151" spans="1:27" ht="16.5">
      <c r="A151" s="2"/>
      <c r="B151" s="290" t="s">
        <v>288</v>
      </c>
      <c r="C151" s="290"/>
      <c r="D151" s="290"/>
      <c r="E151" s="290"/>
      <c r="F151" s="290"/>
      <c r="G151" s="290"/>
      <c r="H151" s="290"/>
      <c r="I151" s="290"/>
      <c r="J151" s="290"/>
      <c r="K151" s="290"/>
      <c r="S151" s="3"/>
      <c r="T151" s="242"/>
      <c r="U151" s="242"/>
      <c r="V151" s="242"/>
      <c r="W151" s="242"/>
      <c r="X151" s="242"/>
      <c r="Y151" s="242"/>
      <c r="Z151" s="242"/>
      <c r="AA151" s="3"/>
    </row>
    <row r="152" spans="1:26" ht="16.5">
      <c r="A152" s="2"/>
      <c r="C152" s="101"/>
      <c r="D152" s="101"/>
      <c r="E152" s="101"/>
      <c r="F152" s="101"/>
      <c r="G152" s="101"/>
      <c r="H152" s="101"/>
      <c r="I152" s="101"/>
      <c r="J152" s="101"/>
      <c r="S152" s="101"/>
      <c r="T152" s="241"/>
      <c r="U152" s="241"/>
      <c r="V152" s="241"/>
      <c r="W152" s="241"/>
      <c r="X152" s="241"/>
      <c r="Y152" s="241"/>
      <c r="Z152" s="241"/>
    </row>
    <row r="153" spans="1:26" ht="16.5">
      <c r="A153" s="2"/>
      <c r="C153" s="101"/>
      <c r="D153" s="101"/>
      <c r="E153" s="101"/>
      <c r="F153" s="101"/>
      <c r="G153" s="101"/>
      <c r="H153" s="101"/>
      <c r="I153" s="101"/>
      <c r="J153" s="101"/>
      <c r="S153" s="101"/>
      <c r="T153" s="241"/>
      <c r="U153" s="241"/>
      <c r="V153" s="241"/>
      <c r="W153" s="241"/>
      <c r="X153" s="241"/>
      <c r="Y153" s="241"/>
      <c r="Z153" s="241"/>
    </row>
    <row r="154" spans="1:26" ht="16.5">
      <c r="A154" s="2"/>
      <c r="C154" s="101"/>
      <c r="D154" s="101"/>
      <c r="E154" s="101"/>
      <c r="F154" s="101"/>
      <c r="G154" s="101"/>
      <c r="H154" s="101"/>
      <c r="I154" s="101"/>
      <c r="J154" s="101"/>
      <c r="S154" s="101"/>
      <c r="T154" s="241"/>
      <c r="U154" s="241"/>
      <c r="V154" s="241"/>
      <c r="W154" s="241"/>
      <c r="X154" s="241"/>
      <c r="Y154" s="241"/>
      <c r="Z154" s="241"/>
    </row>
    <row r="155" spans="1:26" ht="16.5">
      <c r="A155" s="2"/>
      <c r="C155" s="101"/>
      <c r="D155" s="101"/>
      <c r="E155" s="101"/>
      <c r="F155" s="101"/>
      <c r="G155" s="101"/>
      <c r="H155" s="101"/>
      <c r="I155" s="101"/>
      <c r="J155" s="101"/>
      <c r="S155" s="101"/>
      <c r="T155" s="241"/>
      <c r="U155" s="241"/>
      <c r="V155" s="241"/>
      <c r="W155" s="241"/>
      <c r="X155" s="241"/>
      <c r="Y155" s="241"/>
      <c r="Z155" s="241"/>
    </row>
    <row r="156" spans="1:26" ht="16.5">
      <c r="A156" s="2"/>
      <c r="C156" s="101"/>
      <c r="D156" s="101"/>
      <c r="E156" s="101"/>
      <c r="F156" s="101"/>
      <c r="G156" s="101"/>
      <c r="H156" s="101"/>
      <c r="I156" s="101"/>
      <c r="J156" s="101"/>
      <c r="S156" s="101"/>
      <c r="T156" s="241"/>
      <c r="U156" s="241"/>
      <c r="V156" s="241"/>
      <c r="W156" s="241"/>
      <c r="X156" s="241"/>
      <c r="Y156" s="241"/>
      <c r="Z156" s="241"/>
    </row>
    <row r="157" spans="1:26" ht="16.5">
      <c r="A157" s="2"/>
      <c r="C157" s="101"/>
      <c r="D157" s="101"/>
      <c r="E157" s="101"/>
      <c r="F157" s="101"/>
      <c r="G157" s="101"/>
      <c r="H157" s="101"/>
      <c r="I157" s="101"/>
      <c r="J157" s="101"/>
      <c r="S157" s="101"/>
      <c r="T157" s="241"/>
      <c r="U157" s="241"/>
      <c r="V157" s="241"/>
      <c r="W157" s="241"/>
      <c r="X157" s="241"/>
      <c r="Y157" s="241"/>
      <c r="Z157" s="241"/>
    </row>
    <row r="158" spans="1:26" ht="16.5">
      <c r="A158" s="2"/>
      <c r="C158" s="101"/>
      <c r="D158" s="101"/>
      <c r="E158" s="101"/>
      <c r="F158" s="101"/>
      <c r="G158" s="101"/>
      <c r="H158" s="101"/>
      <c r="I158" s="101"/>
      <c r="J158" s="101"/>
      <c r="S158" s="101"/>
      <c r="T158" s="241"/>
      <c r="U158" s="241"/>
      <c r="V158" s="241"/>
      <c r="W158" s="241"/>
      <c r="X158" s="241"/>
      <c r="Y158" s="241"/>
      <c r="Z158" s="241"/>
    </row>
    <row r="159" spans="1:26" ht="16.5">
      <c r="A159" s="2"/>
      <c r="C159" s="101"/>
      <c r="D159" s="101"/>
      <c r="E159" s="101"/>
      <c r="F159" s="101"/>
      <c r="G159" s="101"/>
      <c r="H159" s="101"/>
      <c r="I159" s="101"/>
      <c r="J159" s="101"/>
      <c r="S159" s="101"/>
      <c r="T159" s="241"/>
      <c r="U159" s="241"/>
      <c r="V159" s="241"/>
      <c r="W159" s="241"/>
      <c r="X159" s="241"/>
      <c r="Y159" s="241"/>
      <c r="Z159" s="241"/>
    </row>
    <row r="160" spans="1:26" ht="16.5">
      <c r="A160" s="2"/>
      <c r="C160" s="101"/>
      <c r="D160" s="101"/>
      <c r="E160" s="101"/>
      <c r="F160" s="101"/>
      <c r="G160" s="101"/>
      <c r="H160" s="101"/>
      <c r="I160" s="101"/>
      <c r="J160" s="101"/>
      <c r="S160" s="101"/>
      <c r="T160" s="241"/>
      <c r="U160" s="241"/>
      <c r="V160" s="241"/>
      <c r="W160" s="241"/>
      <c r="X160" s="241"/>
      <c r="Y160" s="241"/>
      <c r="Z160" s="241"/>
    </row>
    <row r="161" spans="1:26" ht="16.5">
      <c r="A161" s="2"/>
      <c r="C161" s="101"/>
      <c r="D161" s="101"/>
      <c r="E161" s="101"/>
      <c r="F161" s="101"/>
      <c r="G161" s="101"/>
      <c r="H161" s="101"/>
      <c r="I161" s="101"/>
      <c r="J161" s="101"/>
      <c r="S161" s="101"/>
      <c r="T161" s="241"/>
      <c r="U161" s="241"/>
      <c r="V161" s="241"/>
      <c r="W161" s="241"/>
      <c r="X161" s="241"/>
      <c r="Y161" s="241"/>
      <c r="Z161" s="241"/>
    </row>
    <row r="162" spans="1:26" ht="16.5">
      <c r="A162" s="2"/>
      <c r="C162" s="101"/>
      <c r="D162" s="101"/>
      <c r="E162" s="101"/>
      <c r="F162" s="101"/>
      <c r="G162" s="101"/>
      <c r="H162" s="101"/>
      <c r="I162" s="101"/>
      <c r="J162" s="101"/>
      <c r="S162" s="101"/>
      <c r="T162" s="241"/>
      <c r="U162" s="241"/>
      <c r="V162" s="241"/>
      <c r="W162" s="241"/>
      <c r="X162" s="241"/>
      <c r="Y162" s="241"/>
      <c r="Z162" s="241"/>
    </row>
    <row r="163" spans="1:26" ht="16.5">
      <c r="A163" s="2"/>
      <c r="C163" s="101"/>
      <c r="D163" s="101"/>
      <c r="E163" s="101"/>
      <c r="F163" s="101"/>
      <c r="G163" s="101"/>
      <c r="H163" s="101"/>
      <c r="I163" s="101"/>
      <c r="J163" s="101"/>
      <c r="S163" s="101"/>
      <c r="T163" s="241"/>
      <c r="U163" s="241"/>
      <c r="V163" s="241"/>
      <c r="W163" s="241"/>
      <c r="X163" s="241"/>
      <c r="Y163" s="241"/>
      <c r="Z163" s="241"/>
    </row>
    <row r="164" spans="1:26" ht="16.5">
      <c r="A164" s="2"/>
      <c r="C164" s="101"/>
      <c r="D164" s="101"/>
      <c r="E164" s="101"/>
      <c r="F164" s="101"/>
      <c r="G164" s="101"/>
      <c r="H164" s="101"/>
      <c r="I164" s="101"/>
      <c r="J164" s="101"/>
      <c r="S164" s="101"/>
      <c r="T164" s="241"/>
      <c r="U164" s="241"/>
      <c r="V164" s="241"/>
      <c r="W164" s="241"/>
      <c r="X164" s="241"/>
      <c r="Y164" s="241"/>
      <c r="Z164" s="241"/>
    </row>
    <row r="165" spans="1:26" ht="16.5">
      <c r="A165" s="2"/>
      <c r="C165" s="101"/>
      <c r="D165" s="101"/>
      <c r="E165" s="101"/>
      <c r="F165" s="101"/>
      <c r="G165" s="101"/>
      <c r="H165" s="101"/>
      <c r="I165" s="101"/>
      <c r="J165" s="101"/>
      <c r="S165" s="101"/>
      <c r="T165" s="241"/>
      <c r="U165" s="241"/>
      <c r="V165" s="241"/>
      <c r="W165" s="241"/>
      <c r="X165" s="241"/>
      <c r="Y165" s="241"/>
      <c r="Z165" s="241"/>
    </row>
    <row r="166" spans="1:26" ht="16.5">
      <c r="A166" s="2"/>
      <c r="C166" s="101"/>
      <c r="D166" s="101"/>
      <c r="E166" s="101"/>
      <c r="F166" s="101"/>
      <c r="G166" s="101"/>
      <c r="H166" s="101"/>
      <c r="I166" s="101"/>
      <c r="J166" s="101"/>
      <c r="S166" s="101"/>
      <c r="T166" s="241"/>
      <c r="U166" s="241"/>
      <c r="V166" s="241"/>
      <c r="W166" s="241"/>
      <c r="X166" s="241"/>
      <c r="Y166" s="241"/>
      <c r="Z166" s="241"/>
    </row>
    <row r="167" spans="1:26" ht="16.5">
      <c r="A167" s="2"/>
      <c r="C167" s="101"/>
      <c r="D167" s="101"/>
      <c r="E167" s="101"/>
      <c r="F167" s="101"/>
      <c r="G167" s="101"/>
      <c r="H167" s="101"/>
      <c r="I167" s="101"/>
      <c r="J167" s="101"/>
      <c r="S167" s="101"/>
      <c r="T167" s="241"/>
      <c r="U167" s="241"/>
      <c r="V167" s="241"/>
      <c r="W167" s="241"/>
      <c r="X167" s="241"/>
      <c r="Y167" s="241"/>
      <c r="Z167" s="241"/>
    </row>
    <row r="168" spans="1:26" ht="16.5">
      <c r="A168" s="2"/>
      <c r="C168" s="101"/>
      <c r="D168" s="101"/>
      <c r="E168" s="101"/>
      <c r="F168" s="101"/>
      <c r="G168" s="101"/>
      <c r="H168" s="101"/>
      <c r="I168" s="101"/>
      <c r="J168" s="101"/>
      <c r="S168" s="101"/>
      <c r="T168" s="241"/>
      <c r="U168" s="241"/>
      <c r="V168" s="241"/>
      <c r="W168" s="241"/>
      <c r="X168" s="241"/>
      <c r="Y168" s="241"/>
      <c r="Z168" s="241"/>
    </row>
    <row r="169" spans="1:26" ht="16.5">
      <c r="A169" s="2"/>
      <c r="C169" s="101"/>
      <c r="D169" s="101"/>
      <c r="E169" s="101"/>
      <c r="F169" s="101"/>
      <c r="G169" s="101"/>
      <c r="H169" s="101"/>
      <c r="I169" s="101"/>
      <c r="J169" s="101"/>
      <c r="S169" s="101"/>
      <c r="T169" s="241"/>
      <c r="U169" s="241"/>
      <c r="V169" s="241"/>
      <c r="W169" s="241"/>
      <c r="X169" s="241"/>
      <c r="Y169" s="241"/>
      <c r="Z169" s="241"/>
    </row>
    <row r="170" spans="1:26" ht="16.5">
      <c r="A170" s="2"/>
      <c r="C170" s="101"/>
      <c r="D170" s="101"/>
      <c r="E170" s="101"/>
      <c r="F170" s="101"/>
      <c r="G170" s="101"/>
      <c r="H170" s="101"/>
      <c r="I170" s="101"/>
      <c r="J170" s="101"/>
      <c r="S170" s="101"/>
      <c r="T170" s="241"/>
      <c r="U170" s="241"/>
      <c r="V170" s="241"/>
      <c r="W170" s="241"/>
      <c r="X170" s="241"/>
      <c r="Y170" s="241"/>
      <c r="Z170" s="241"/>
    </row>
    <row r="171" spans="1:26" ht="16.5">
      <c r="A171" s="2"/>
      <c r="C171" s="101"/>
      <c r="D171" s="101"/>
      <c r="E171" s="101"/>
      <c r="F171" s="101"/>
      <c r="G171" s="101"/>
      <c r="H171" s="101"/>
      <c r="I171" s="101"/>
      <c r="J171" s="101"/>
      <c r="S171" s="101"/>
      <c r="T171" s="241"/>
      <c r="U171" s="241"/>
      <c r="V171" s="241"/>
      <c r="W171" s="241"/>
      <c r="X171" s="241"/>
      <c r="Y171" s="241"/>
      <c r="Z171" s="241"/>
    </row>
    <row r="172" spans="1:26" ht="16.5">
      <c r="A172" s="2"/>
      <c r="C172" s="101"/>
      <c r="D172" s="101"/>
      <c r="E172" s="101"/>
      <c r="F172" s="101"/>
      <c r="G172" s="101"/>
      <c r="H172" s="101"/>
      <c r="I172" s="101"/>
      <c r="J172" s="101"/>
      <c r="S172" s="101"/>
      <c r="T172" s="241"/>
      <c r="U172" s="241"/>
      <c r="V172" s="241"/>
      <c r="W172" s="241"/>
      <c r="X172" s="241"/>
      <c r="Y172" s="241"/>
      <c r="Z172" s="241"/>
    </row>
    <row r="173" spans="1:26" ht="16.5">
      <c r="A173" s="2"/>
      <c r="C173" s="101"/>
      <c r="D173" s="101"/>
      <c r="E173" s="101"/>
      <c r="F173" s="101"/>
      <c r="G173" s="101"/>
      <c r="H173" s="101"/>
      <c r="I173" s="101"/>
      <c r="J173" s="101"/>
      <c r="S173" s="101"/>
      <c r="T173" s="241"/>
      <c r="U173" s="241"/>
      <c r="V173" s="241"/>
      <c r="W173" s="241"/>
      <c r="X173" s="241"/>
      <c r="Y173" s="241"/>
      <c r="Z173" s="241"/>
    </row>
    <row r="174" spans="1:26" ht="16.5">
      <c r="A174" s="2"/>
      <c r="C174" s="101"/>
      <c r="D174" s="101"/>
      <c r="E174" s="101"/>
      <c r="F174" s="101"/>
      <c r="G174" s="101"/>
      <c r="H174" s="101"/>
      <c r="I174" s="101"/>
      <c r="J174" s="101"/>
      <c r="S174" s="101"/>
      <c r="T174" s="241"/>
      <c r="U174" s="241"/>
      <c r="V174" s="241"/>
      <c r="W174" s="241"/>
      <c r="X174" s="241"/>
      <c r="Y174" s="241"/>
      <c r="Z174" s="241"/>
    </row>
    <row r="175" spans="1:26" ht="16.5">
      <c r="A175" s="2"/>
      <c r="C175" s="101"/>
      <c r="D175" s="101"/>
      <c r="E175" s="101"/>
      <c r="F175" s="101"/>
      <c r="G175" s="101"/>
      <c r="H175" s="101"/>
      <c r="I175" s="101"/>
      <c r="J175" s="101"/>
      <c r="S175" s="101"/>
      <c r="T175" s="241"/>
      <c r="U175" s="241"/>
      <c r="V175" s="241"/>
      <c r="W175" s="241"/>
      <c r="X175" s="241"/>
      <c r="Y175" s="241"/>
      <c r="Z175" s="241"/>
    </row>
    <row r="176" spans="1:26" ht="16.5">
      <c r="A176" s="2"/>
      <c r="C176" s="101"/>
      <c r="D176" s="101"/>
      <c r="E176" s="101"/>
      <c r="F176" s="101"/>
      <c r="G176" s="101"/>
      <c r="H176" s="101"/>
      <c r="I176" s="101"/>
      <c r="J176" s="101"/>
      <c r="S176" s="101"/>
      <c r="T176" s="241"/>
      <c r="U176" s="241"/>
      <c r="V176" s="241"/>
      <c r="W176" s="241"/>
      <c r="X176" s="241"/>
      <c r="Y176" s="241"/>
      <c r="Z176" s="241"/>
    </row>
    <row r="177" spans="1:26" ht="16.5">
      <c r="A177" s="2"/>
      <c r="C177" s="101"/>
      <c r="D177" s="101"/>
      <c r="E177" s="101"/>
      <c r="F177" s="101"/>
      <c r="G177" s="101"/>
      <c r="H177" s="101"/>
      <c r="I177" s="101"/>
      <c r="J177" s="101"/>
      <c r="S177" s="101"/>
      <c r="T177" s="241"/>
      <c r="U177" s="241"/>
      <c r="V177" s="241"/>
      <c r="W177" s="241"/>
      <c r="X177" s="241"/>
      <c r="Y177" s="241"/>
      <c r="Z177" s="241"/>
    </row>
    <row r="178" spans="1:26" ht="16.5">
      <c r="A178" s="2"/>
      <c r="C178" s="101"/>
      <c r="D178" s="101"/>
      <c r="E178" s="101"/>
      <c r="F178" s="101"/>
      <c r="G178" s="101"/>
      <c r="H178" s="101"/>
      <c r="I178" s="101"/>
      <c r="J178" s="101"/>
      <c r="S178" s="101"/>
      <c r="T178" s="241"/>
      <c r="U178" s="241"/>
      <c r="V178" s="241"/>
      <c r="W178" s="241"/>
      <c r="X178" s="241"/>
      <c r="Y178" s="241"/>
      <c r="Z178" s="241"/>
    </row>
    <row r="179" spans="1:26" ht="16.5">
      <c r="A179" s="2"/>
      <c r="C179" s="101"/>
      <c r="D179" s="101"/>
      <c r="E179" s="101"/>
      <c r="F179" s="101"/>
      <c r="G179" s="101"/>
      <c r="H179" s="101"/>
      <c r="I179" s="101"/>
      <c r="J179" s="101"/>
      <c r="S179" s="101"/>
      <c r="T179" s="241"/>
      <c r="U179" s="241"/>
      <c r="V179" s="241"/>
      <c r="W179" s="241"/>
      <c r="X179" s="241"/>
      <c r="Y179" s="241"/>
      <c r="Z179" s="241"/>
    </row>
    <row r="180" spans="1:26" ht="16.5">
      <c r="A180" s="2"/>
      <c r="C180" s="101"/>
      <c r="D180" s="101"/>
      <c r="E180" s="101"/>
      <c r="F180" s="101"/>
      <c r="G180" s="101"/>
      <c r="H180" s="101"/>
      <c r="I180" s="101"/>
      <c r="J180" s="101"/>
      <c r="S180" s="101"/>
      <c r="T180" s="241"/>
      <c r="U180" s="241"/>
      <c r="V180" s="241"/>
      <c r="W180" s="241"/>
      <c r="X180" s="241"/>
      <c r="Y180" s="241"/>
      <c r="Z180" s="241"/>
    </row>
    <row r="181" spans="1:26" ht="16.5">
      <c r="A181" s="2"/>
      <c r="C181" s="101"/>
      <c r="D181" s="101"/>
      <c r="E181" s="101"/>
      <c r="F181" s="101"/>
      <c r="G181" s="101"/>
      <c r="H181" s="101"/>
      <c r="I181" s="101"/>
      <c r="J181" s="101"/>
      <c r="S181" s="101"/>
      <c r="T181" s="241"/>
      <c r="U181" s="241"/>
      <c r="V181" s="241"/>
      <c r="W181" s="241"/>
      <c r="X181" s="241"/>
      <c r="Y181" s="241"/>
      <c r="Z181" s="241"/>
    </row>
    <row r="182" spans="1:26" ht="16.5">
      <c r="A182" s="2"/>
      <c r="C182" s="101"/>
      <c r="D182" s="101"/>
      <c r="E182" s="101"/>
      <c r="F182" s="101"/>
      <c r="G182" s="101"/>
      <c r="H182" s="101"/>
      <c r="I182" s="101"/>
      <c r="J182" s="101"/>
      <c r="S182" s="101"/>
      <c r="T182" s="241"/>
      <c r="U182" s="241"/>
      <c r="V182" s="241"/>
      <c r="W182" s="241"/>
      <c r="X182" s="241"/>
      <c r="Y182" s="241"/>
      <c r="Z182" s="241"/>
    </row>
    <row r="183" spans="1:26" ht="16.5">
      <c r="A183" s="2"/>
      <c r="C183" s="101"/>
      <c r="D183" s="101"/>
      <c r="E183" s="101"/>
      <c r="F183" s="101"/>
      <c r="G183" s="101"/>
      <c r="H183" s="101"/>
      <c r="I183" s="101"/>
      <c r="J183" s="101"/>
      <c r="S183" s="101"/>
      <c r="T183" s="241"/>
      <c r="U183" s="241"/>
      <c r="V183" s="241"/>
      <c r="W183" s="241"/>
      <c r="X183" s="241"/>
      <c r="Y183" s="241"/>
      <c r="Z183" s="241"/>
    </row>
    <row r="184" spans="1:26" ht="16.5">
      <c r="A184" s="2"/>
      <c r="C184" s="101"/>
      <c r="D184" s="101"/>
      <c r="E184" s="101"/>
      <c r="F184" s="101"/>
      <c r="G184" s="101"/>
      <c r="H184" s="101"/>
      <c r="I184" s="101"/>
      <c r="J184" s="101"/>
      <c r="S184" s="101"/>
      <c r="T184" s="241"/>
      <c r="U184" s="241"/>
      <c r="V184" s="241"/>
      <c r="W184" s="241"/>
      <c r="X184" s="241"/>
      <c r="Y184" s="241"/>
      <c r="Z184" s="241"/>
    </row>
    <row r="185" spans="1:26" ht="16.5">
      <c r="A185" s="2"/>
      <c r="C185" s="101"/>
      <c r="D185" s="101"/>
      <c r="E185" s="101"/>
      <c r="F185" s="101"/>
      <c r="G185" s="101"/>
      <c r="H185" s="101"/>
      <c r="I185" s="101"/>
      <c r="J185" s="101"/>
      <c r="S185" s="101"/>
      <c r="T185" s="241"/>
      <c r="U185" s="241"/>
      <c r="V185" s="241"/>
      <c r="W185" s="241"/>
      <c r="X185" s="241"/>
      <c r="Y185" s="241"/>
      <c r="Z185" s="241"/>
    </row>
    <row r="186" spans="1:26" ht="16.5">
      <c r="A186" s="2"/>
      <c r="C186" s="101"/>
      <c r="D186" s="101"/>
      <c r="E186" s="101"/>
      <c r="F186" s="101"/>
      <c r="G186" s="101"/>
      <c r="H186" s="101"/>
      <c r="I186" s="101"/>
      <c r="J186" s="101"/>
      <c r="S186" s="101"/>
      <c r="T186" s="241"/>
      <c r="U186" s="241"/>
      <c r="V186" s="241"/>
      <c r="W186" s="241"/>
      <c r="X186" s="241"/>
      <c r="Y186" s="241"/>
      <c r="Z186" s="241"/>
    </row>
    <row r="187" spans="1:26" ht="16.5">
      <c r="A187" s="2"/>
      <c r="C187" s="101"/>
      <c r="D187" s="101"/>
      <c r="E187" s="101"/>
      <c r="F187" s="101"/>
      <c r="G187" s="101"/>
      <c r="H187" s="101"/>
      <c r="I187" s="101"/>
      <c r="J187" s="101"/>
      <c r="S187" s="101"/>
      <c r="T187" s="241"/>
      <c r="U187" s="241"/>
      <c r="V187" s="241"/>
      <c r="W187" s="241"/>
      <c r="X187" s="241"/>
      <c r="Y187" s="241"/>
      <c r="Z187" s="241"/>
    </row>
    <row r="188" spans="1:26" ht="16.5">
      <c r="A188" s="2"/>
      <c r="C188" s="101"/>
      <c r="D188" s="101"/>
      <c r="E188" s="101"/>
      <c r="F188" s="101"/>
      <c r="G188" s="101"/>
      <c r="H188" s="101"/>
      <c r="I188" s="101"/>
      <c r="J188" s="101"/>
      <c r="S188" s="101"/>
      <c r="T188" s="241"/>
      <c r="U188" s="241"/>
      <c r="V188" s="241"/>
      <c r="W188" s="241"/>
      <c r="X188" s="241"/>
      <c r="Y188" s="241"/>
      <c r="Z188" s="241"/>
    </row>
    <row r="189" spans="1:26" ht="16.5">
      <c r="A189" s="2"/>
      <c r="C189" s="101"/>
      <c r="D189" s="101"/>
      <c r="E189" s="101"/>
      <c r="F189" s="101"/>
      <c r="G189" s="101"/>
      <c r="H189" s="101"/>
      <c r="I189" s="101"/>
      <c r="J189" s="101"/>
      <c r="S189" s="101"/>
      <c r="T189" s="241"/>
      <c r="U189" s="241"/>
      <c r="V189" s="241"/>
      <c r="W189" s="241"/>
      <c r="X189" s="241"/>
      <c r="Y189" s="241"/>
      <c r="Z189" s="241"/>
    </row>
    <row r="190" spans="1:26" ht="16.5">
      <c r="A190" s="2"/>
      <c r="C190" s="101"/>
      <c r="D190" s="101"/>
      <c r="E190" s="101"/>
      <c r="F190" s="101"/>
      <c r="G190" s="101"/>
      <c r="H190" s="101"/>
      <c r="I190" s="101"/>
      <c r="J190" s="101"/>
      <c r="S190" s="101"/>
      <c r="T190" s="241"/>
      <c r="U190" s="241"/>
      <c r="V190" s="241"/>
      <c r="W190" s="241"/>
      <c r="X190" s="241"/>
      <c r="Y190" s="241"/>
      <c r="Z190" s="241"/>
    </row>
    <row r="191" spans="1:26" ht="16.5">
      <c r="A191" s="2"/>
      <c r="C191" s="101"/>
      <c r="D191" s="101"/>
      <c r="E191" s="101"/>
      <c r="F191" s="101"/>
      <c r="G191" s="101"/>
      <c r="H191" s="101"/>
      <c r="I191" s="101"/>
      <c r="J191" s="101"/>
      <c r="S191" s="101"/>
      <c r="T191" s="241"/>
      <c r="U191" s="241"/>
      <c r="V191" s="241"/>
      <c r="W191" s="241"/>
      <c r="X191" s="241"/>
      <c r="Y191" s="241"/>
      <c r="Z191" s="241"/>
    </row>
    <row r="192" spans="1:26" ht="16.5">
      <c r="A192" s="2"/>
      <c r="C192" s="101"/>
      <c r="D192" s="101"/>
      <c r="E192" s="101"/>
      <c r="F192" s="101"/>
      <c r="G192" s="101"/>
      <c r="H192" s="101"/>
      <c r="I192" s="101"/>
      <c r="J192" s="101"/>
      <c r="S192" s="101"/>
      <c r="T192" s="241"/>
      <c r="U192" s="241"/>
      <c r="V192" s="241"/>
      <c r="W192" s="241"/>
      <c r="X192" s="241"/>
      <c r="Y192" s="241"/>
      <c r="Z192" s="241"/>
    </row>
    <row r="193" spans="1:26" ht="16.5">
      <c r="A193" s="2"/>
      <c r="C193" s="101"/>
      <c r="D193" s="101"/>
      <c r="E193" s="101"/>
      <c r="F193" s="101"/>
      <c r="G193" s="101"/>
      <c r="H193" s="101"/>
      <c r="I193" s="101"/>
      <c r="J193" s="101"/>
      <c r="S193" s="101"/>
      <c r="T193" s="241"/>
      <c r="U193" s="241"/>
      <c r="V193" s="241"/>
      <c r="W193" s="241"/>
      <c r="X193" s="241"/>
      <c r="Y193" s="241"/>
      <c r="Z193" s="241"/>
    </row>
    <row r="194" spans="1:26" ht="16.5">
      <c r="A194" s="2"/>
      <c r="C194" s="101"/>
      <c r="D194" s="101"/>
      <c r="E194" s="101"/>
      <c r="F194" s="101"/>
      <c r="G194" s="101"/>
      <c r="H194" s="101"/>
      <c r="I194" s="101"/>
      <c r="J194" s="101"/>
      <c r="S194" s="101"/>
      <c r="T194" s="241"/>
      <c r="U194" s="241"/>
      <c r="V194" s="241"/>
      <c r="W194" s="241"/>
      <c r="X194" s="241"/>
      <c r="Y194" s="241"/>
      <c r="Z194" s="241"/>
    </row>
    <row r="195" spans="1:26" ht="16.5">
      <c r="A195" s="2"/>
      <c r="C195" s="101"/>
      <c r="D195" s="101"/>
      <c r="E195" s="101"/>
      <c r="F195" s="101"/>
      <c r="G195" s="101"/>
      <c r="H195" s="101"/>
      <c r="I195" s="101"/>
      <c r="J195" s="101"/>
      <c r="S195" s="101"/>
      <c r="T195" s="241"/>
      <c r="U195" s="241"/>
      <c r="V195" s="241"/>
      <c r="W195" s="241"/>
      <c r="X195" s="241"/>
      <c r="Y195" s="241"/>
      <c r="Z195" s="241"/>
    </row>
    <row r="196" spans="1:26" ht="16.5">
      <c r="A196" s="2"/>
      <c r="C196" s="101"/>
      <c r="D196" s="101"/>
      <c r="E196" s="101"/>
      <c r="F196" s="101"/>
      <c r="G196" s="101"/>
      <c r="H196" s="101"/>
      <c r="I196" s="101"/>
      <c r="J196" s="101"/>
      <c r="S196" s="101"/>
      <c r="T196" s="241"/>
      <c r="U196" s="241"/>
      <c r="V196" s="241"/>
      <c r="W196" s="241"/>
      <c r="X196" s="241"/>
      <c r="Y196" s="241"/>
      <c r="Z196" s="241"/>
    </row>
    <row r="197" spans="1:26" ht="16.5">
      <c r="A197" s="2"/>
      <c r="C197" s="101"/>
      <c r="D197" s="101"/>
      <c r="E197" s="101"/>
      <c r="F197" s="101"/>
      <c r="G197" s="101"/>
      <c r="H197" s="101"/>
      <c r="I197" s="101"/>
      <c r="J197" s="101"/>
      <c r="S197" s="101"/>
      <c r="T197" s="241"/>
      <c r="U197" s="241"/>
      <c r="V197" s="241"/>
      <c r="W197" s="241"/>
      <c r="X197" s="241"/>
      <c r="Y197" s="241"/>
      <c r="Z197" s="241"/>
    </row>
    <row r="198" spans="1:26" ht="16.5">
      <c r="A198" s="2"/>
      <c r="C198" s="101"/>
      <c r="D198" s="101"/>
      <c r="E198" s="101"/>
      <c r="F198" s="101"/>
      <c r="G198" s="101"/>
      <c r="H198" s="101"/>
      <c r="I198" s="101"/>
      <c r="J198" s="101"/>
      <c r="S198" s="101"/>
      <c r="T198" s="241"/>
      <c r="U198" s="241"/>
      <c r="V198" s="241"/>
      <c r="W198" s="241"/>
      <c r="X198" s="241"/>
      <c r="Y198" s="241"/>
      <c r="Z198" s="241"/>
    </row>
    <row r="199" spans="1:26" ht="16.5">
      <c r="A199" s="2"/>
      <c r="C199" s="101"/>
      <c r="D199" s="101"/>
      <c r="E199" s="101"/>
      <c r="F199" s="101"/>
      <c r="G199" s="101"/>
      <c r="H199" s="101"/>
      <c r="I199" s="101"/>
      <c r="J199" s="101"/>
      <c r="S199" s="101"/>
      <c r="T199" s="241"/>
      <c r="U199" s="241"/>
      <c r="V199" s="241"/>
      <c r="W199" s="241"/>
      <c r="X199" s="241"/>
      <c r="Y199" s="241"/>
      <c r="Z199" s="241"/>
    </row>
    <row r="200" spans="1:26" ht="16.5">
      <c r="A200" s="2"/>
      <c r="C200" s="101"/>
      <c r="D200" s="101"/>
      <c r="E200" s="101"/>
      <c r="F200" s="101"/>
      <c r="G200" s="101"/>
      <c r="H200" s="101"/>
      <c r="I200" s="101"/>
      <c r="J200" s="101"/>
      <c r="S200" s="101"/>
      <c r="T200" s="241"/>
      <c r="U200" s="241"/>
      <c r="V200" s="241"/>
      <c r="W200" s="241"/>
      <c r="X200" s="241"/>
      <c r="Y200" s="241"/>
      <c r="Z200" s="241"/>
    </row>
    <row r="201" spans="1:26" ht="16.5">
      <c r="A201" s="2"/>
      <c r="C201" s="101"/>
      <c r="D201" s="101"/>
      <c r="E201" s="101"/>
      <c r="F201" s="101"/>
      <c r="G201" s="101"/>
      <c r="H201" s="101"/>
      <c r="I201" s="101"/>
      <c r="J201" s="101"/>
      <c r="S201" s="101"/>
      <c r="T201" s="241"/>
      <c r="U201" s="241"/>
      <c r="V201" s="241"/>
      <c r="W201" s="241"/>
      <c r="X201" s="241"/>
      <c r="Y201" s="241"/>
      <c r="Z201" s="241"/>
    </row>
    <row r="202" spans="1:26" ht="16.5">
      <c r="A202" s="2"/>
      <c r="C202" s="101"/>
      <c r="D202" s="101"/>
      <c r="E202" s="101"/>
      <c r="F202" s="101"/>
      <c r="G202" s="101"/>
      <c r="H202" s="101"/>
      <c r="I202" s="101"/>
      <c r="J202" s="101"/>
      <c r="S202" s="101"/>
      <c r="T202" s="241"/>
      <c r="U202" s="241"/>
      <c r="V202" s="241"/>
      <c r="W202" s="241"/>
      <c r="X202" s="241"/>
      <c r="Y202" s="241"/>
      <c r="Z202" s="241"/>
    </row>
    <row r="203" spans="1:26" ht="16.5">
      <c r="A203" s="2"/>
      <c r="C203" s="101"/>
      <c r="D203" s="101"/>
      <c r="E203" s="101"/>
      <c r="F203" s="101"/>
      <c r="G203" s="101"/>
      <c r="H203" s="101"/>
      <c r="I203" s="101"/>
      <c r="J203" s="101"/>
      <c r="S203" s="101"/>
      <c r="T203" s="241"/>
      <c r="U203" s="241"/>
      <c r="V203" s="241"/>
      <c r="W203" s="241"/>
      <c r="X203" s="241"/>
      <c r="Y203" s="241"/>
      <c r="Z203" s="241"/>
    </row>
    <row r="204" spans="1:26" ht="16.5">
      <c r="A204" s="2"/>
      <c r="C204" s="101"/>
      <c r="D204" s="101"/>
      <c r="E204" s="101"/>
      <c r="F204" s="101"/>
      <c r="G204" s="101"/>
      <c r="H204" s="101"/>
      <c r="I204" s="101"/>
      <c r="J204" s="101"/>
      <c r="S204" s="101"/>
      <c r="T204" s="241"/>
      <c r="U204" s="241"/>
      <c r="V204" s="241"/>
      <c r="W204" s="241"/>
      <c r="X204" s="241"/>
      <c r="Y204" s="241"/>
      <c r="Z204" s="241"/>
    </row>
    <row r="205" spans="1:26" ht="16.5">
      <c r="A205" s="2"/>
      <c r="C205" s="101"/>
      <c r="D205" s="101"/>
      <c r="E205" s="101"/>
      <c r="F205" s="101"/>
      <c r="G205" s="101"/>
      <c r="H205" s="101"/>
      <c r="I205" s="101"/>
      <c r="J205" s="101"/>
      <c r="S205" s="101"/>
      <c r="T205" s="241"/>
      <c r="U205" s="241"/>
      <c r="V205" s="241"/>
      <c r="W205" s="241"/>
      <c r="X205" s="241"/>
      <c r="Y205" s="241"/>
      <c r="Z205" s="241"/>
    </row>
    <row r="206" spans="1:26" ht="16.5">
      <c r="A206" s="2"/>
      <c r="C206" s="101"/>
      <c r="D206" s="101"/>
      <c r="E206" s="101"/>
      <c r="F206" s="101"/>
      <c r="G206" s="101"/>
      <c r="H206" s="101"/>
      <c r="I206" s="101"/>
      <c r="J206" s="101"/>
      <c r="S206" s="101"/>
      <c r="T206" s="241"/>
      <c r="U206" s="241"/>
      <c r="V206" s="241"/>
      <c r="W206" s="241"/>
      <c r="X206" s="241"/>
      <c r="Y206" s="241"/>
      <c r="Z206" s="241"/>
    </row>
    <row r="207" spans="1:26" ht="16.5">
      <c r="A207" s="2"/>
      <c r="C207" s="101"/>
      <c r="D207" s="101"/>
      <c r="E207" s="101"/>
      <c r="F207" s="101"/>
      <c r="G207" s="101"/>
      <c r="H207" s="101"/>
      <c r="I207" s="101"/>
      <c r="J207" s="101"/>
      <c r="S207" s="101"/>
      <c r="T207" s="241"/>
      <c r="U207" s="241"/>
      <c r="V207" s="241"/>
      <c r="W207" s="241"/>
      <c r="X207" s="241"/>
      <c r="Y207" s="241"/>
      <c r="Z207" s="241"/>
    </row>
    <row r="208" spans="1:26" ht="16.5">
      <c r="A208" s="2"/>
      <c r="C208" s="101"/>
      <c r="D208" s="101"/>
      <c r="E208" s="101"/>
      <c r="F208" s="101"/>
      <c r="G208" s="101"/>
      <c r="H208" s="101"/>
      <c r="I208" s="101"/>
      <c r="J208" s="101"/>
      <c r="S208" s="101"/>
      <c r="T208" s="241"/>
      <c r="U208" s="241"/>
      <c r="V208" s="241"/>
      <c r="W208" s="241"/>
      <c r="X208" s="241"/>
      <c r="Y208" s="241"/>
      <c r="Z208" s="241"/>
    </row>
    <row r="209" spans="1:26" ht="16.5">
      <c r="A209" s="2"/>
      <c r="C209" s="101"/>
      <c r="D209" s="101"/>
      <c r="E209" s="101"/>
      <c r="F209" s="101"/>
      <c r="G209" s="101"/>
      <c r="H209" s="101"/>
      <c r="I209" s="101"/>
      <c r="J209" s="101"/>
      <c r="S209" s="101"/>
      <c r="T209" s="241"/>
      <c r="U209" s="241"/>
      <c r="V209" s="241"/>
      <c r="W209" s="241"/>
      <c r="X209" s="241"/>
      <c r="Y209" s="241"/>
      <c r="Z209" s="241"/>
    </row>
    <row r="210" spans="1:26" ht="16.5">
      <c r="A210" s="2"/>
      <c r="C210" s="101"/>
      <c r="D210" s="101"/>
      <c r="E210" s="101"/>
      <c r="F210" s="101"/>
      <c r="G210" s="101"/>
      <c r="H210" s="101"/>
      <c r="I210" s="101"/>
      <c r="J210" s="101"/>
      <c r="S210" s="101"/>
      <c r="T210" s="241"/>
      <c r="U210" s="241"/>
      <c r="V210" s="241"/>
      <c r="W210" s="241"/>
      <c r="X210" s="241"/>
      <c r="Y210" s="241"/>
      <c r="Z210" s="241"/>
    </row>
    <row r="211" spans="1:26" ht="16.5">
      <c r="A211" s="2"/>
      <c r="C211" s="101"/>
      <c r="D211" s="101"/>
      <c r="E211" s="101"/>
      <c r="F211" s="101"/>
      <c r="G211" s="101"/>
      <c r="H211" s="101"/>
      <c r="I211" s="101"/>
      <c r="J211" s="101"/>
      <c r="S211" s="101"/>
      <c r="T211" s="241"/>
      <c r="U211" s="241"/>
      <c r="V211" s="241"/>
      <c r="W211" s="241"/>
      <c r="X211" s="241"/>
      <c r="Y211" s="241"/>
      <c r="Z211" s="241"/>
    </row>
    <row r="212" spans="3:26" ht="16.5">
      <c r="C212" s="101"/>
      <c r="D212" s="101"/>
      <c r="E212" s="101"/>
      <c r="F212" s="101"/>
      <c r="G212" s="101"/>
      <c r="H212" s="101"/>
      <c r="I212" s="101"/>
      <c r="J212" s="101"/>
      <c r="S212" s="101"/>
      <c r="T212" s="241"/>
      <c r="U212" s="241"/>
      <c r="V212" s="241"/>
      <c r="W212" s="241"/>
      <c r="X212" s="241"/>
      <c r="Y212" s="241"/>
      <c r="Z212" s="241"/>
    </row>
    <row r="213" spans="3:26" ht="16.5">
      <c r="C213" s="101"/>
      <c r="D213" s="101"/>
      <c r="E213" s="101"/>
      <c r="F213" s="101"/>
      <c r="G213" s="101"/>
      <c r="H213" s="101"/>
      <c r="I213" s="101"/>
      <c r="J213" s="101"/>
      <c r="S213" s="101"/>
      <c r="T213" s="241"/>
      <c r="U213" s="241"/>
      <c r="V213" s="241"/>
      <c r="W213" s="241"/>
      <c r="X213" s="241"/>
      <c r="Y213" s="241"/>
      <c r="Z213" s="241"/>
    </row>
    <row r="214" spans="3:26" ht="16.5">
      <c r="C214" s="101"/>
      <c r="D214" s="101"/>
      <c r="E214" s="101"/>
      <c r="F214" s="101"/>
      <c r="G214" s="101"/>
      <c r="H214" s="101"/>
      <c r="I214" s="101"/>
      <c r="J214" s="101"/>
      <c r="S214" s="101"/>
      <c r="T214" s="241"/>
      <c r="U214" s="241"/>
      <c r="V214" s="241"/>
      <c r="W214" s="241"/>
      <c r="X214" s="241"/>
      <c r="Y214" s="241"/>
      <c r="Z214" s="241"/>
    </row>
    <row r="215" spans="3:26" ht="16.5">
      <c r="C215" s="101"/>
      <c r="D215" s="101"/>
      <c r="E215" s="101"/>
      <c r="F215" s="101"/>
      <c r="G215" s="101"/>
      <c r="H215" s="101"/>
      <c r="I215" s="101"/>
      <c r="J215" s="101"/>
      <c r="S215" s="101"/>
      <c r="T215" s="241"/>
      <c r="U215" s="241"/>
      <c r="V215" s="241"/>
      <c r="W215" s="241"/>
      <c r="X215" s="241"/>
      <c r="Y215" s="241"/>
      <c r="Z215" s="241"/>
    </row>
    <row r="216" spans="3:26" ht="16.5">
      <c r="C216" s="101"/>
      <c r="D216" s="101"/>
      <c r="E216" s="101"/>
      <c r="F216" s="101"/>
      <c r="G216" s="101"/>
      <c r="H216" s="101"/>
      <c r="I216" s="101"/>
      <c r="J216" s="101"/>
      <c r="S216" s="101"/>
      <c r="T216" s="241"/>
      <c r="U216" s="241"/>
      <c r="V216" s="241"/>
      <c r="W216" s="241"/>
      <c r="X216" s="241"/>
      <c r="Y216" s="241"/>
      <c r="Z216" s="241"/>
    </row>
    <row r="217" spans="3:26" ht="16.5">
      <c r="C217" s="101"/>
      <c r="D217" s="101"/>
      <c r="E217" s="101"/>
      <c r="F217" s="101"/>
      <c r="G217" s="101"/>
      <c r="H217" s="101"/>
      <c r="I217" s="101"/>
      <c r="J217" s="101"/>
      <c r="S217" s="101"/>
      <c r="T217" s="241"/>
      <c r="U217" s="241"/>
      <c r="V217" s="241"/>
      <c r="W217" s="241"/>
      <c r="X217" s="241"/>
      <c r="Y217" s="241"/>
      <c r="Z217" s="241"/>
    </row>
    <row r="218" spans="3:26" ht="16.5">
      <c r="C218" s="101"/>
      <c r="D218" s="101"/>
      <c r="E218" s="101"/>
      <c r="F218" s="101"/>
      <c r="G218" s="101"/>
      <c r="H218" s="101"/>
      <c r="I218" s="101"/>
      <c r="J218" s="101"/>
      <c r="S218" s="101"/>
      <c r="T218" s="241"/>
      <c r="U218" s="241"/>
      <c r="V218" s="241"/>
      <c r="W218" s="241"/>
      <c r="X218" s="241"/>
      <c r="Y218" s="241"/>
      <c r="Z218" s="241"/>
    </row>
    <row r="219" spans="3:26" ht="16.5">
      <c r="C219" s="101"/>
      <c r="D219" s="101"/>
      <c r="E219" s="101"/>
      <c r="F219" s="101"/>
      <c r="G219" s="101"/>
      <c r="H219" s="101"/>
      <c r="I219" s="101"/>
      <c r="J219" s="101"/>
      <c r="S219" s="101"/>
      <c r="T219" s="241"/>
      <c r="U219" s="241"/>
      <c r="V219" s="241"/>
      <c r="W219" s="241"/>
      <c r="X219" s="241"/>
      <c r="Y219" s="241"/>
      <c r="Z219" s="241"/>
    </row>
    <row r="220" spans="3:26" ht="16.5">
      <c r="C220" s="101"/>
      <c r="D220" s="101"/>
      <c r="E220" s="101"/>
      <c r="F220" s="101"/>
      <c r="G220" s="101"/>
      <c r="H220" s="101"/>
      <c r="I220" s="101"/>
      <c r="J220" s="101"/>
      <c r="S220" s="101"/>
      <c r="T220" s="241"/>
      <c r="U220" s="241"/>
      <c r="V220" s="241"/>
      <c r="W220" s="241"/>
      <c r="X220" s="241"/>
      <c r="Y220" s="241"/>
      <c r="Z220" s="241"/>
    </row>
    <row r="221" spans="3:26" ht="16.5">
      <c r="C221" s="101"/>
      <c r="D221" s="101"/>
      <c r="E221" s="101"/>
      <c r="F221" s="101"/>
      <c r="G221" s="101"/>
      <c r="H221" s="101"/>
      <c r="I221" s="101"/>
      <c r="J221" s="101"/>
      <c r="S221" s="101"/>
      <c r="T221" s="241"/>
      <c r="U221" s="241"/>
      <c r="V221" s="241"/>
      <c r="W221" s="241"/>
      <c r="X221" s="241"/>
      <c r="Y221" s="241"/>
      <c r="Z221" s="241"/>
    </row>
    <row r="222" spans="3:26" ht="16.5">
      <c r="C222" s="101"/>
      <c r="D222" s="101"/>
      <c r="E222" s="101"/>
      <c r="F222" s="101"/>
      <c r="G222" s="101"/>
      <c r="H222" s="101"/>
      <c r="I222" s="101"/>
      <c r="J222" s="101"/>
      <c r="S222" s="101"/>
      <c r="T222" s="241"/>
      <c r="U222" s="241"/>
      <c r="V222" s="241"/>
      <c r="W222" s="241"/>
      <c r="X222" s="241"/>
      <c r="Y222" s="241"/>
      <c r="Z222" s="241"/>
    </row>
    <row r="223" spans="3:26" ht="16.5">
      <c r="C223" s="101"/>
      <c r="D223" s="101"/>
      <c r="E223" s="101"/>
      <c r="F223" s="101"/>
      <c r="G223" s="101"/>
      <c r="H223" s="101"/>
      <c r="I223" s="101"/>
      <c r="J223" s="101"/>
      <c r="S223" s="101"/>
      <c r="T223" s="241"/>
      <c r="U223" s="241"/>
      <c r="V223" s="241"/>
      <c r="W223" s="241"/>
      <c r="X223" s="241"/>
      <c r="Y223" s="241"/>
      <c r="Z223" s="241"/>
    </row>
    <row r="224" spans="3:26" ht="16.5">
      <c r="C224" s="101"/>
      <c r="D224" s="101"/>
      <c r="E224" s="101"/>
      <c r="F224" s="101"/>
      <c r="G224" s="101"/>
      <c r="H224" s="101"/>
      <c r="I224" s="101"/>
      <c r="J224" s="101"/>
      <c r="S224" s="101"/>
      <c r="T224" s="241"/>
      <c r="U224" s="241"/>
      <c r="V224" s="241"/>
      <c r="W224" s="241"/>
      <c r="X224" s="241"/>
      <c r="Y224" s="241"/>
      <c r="Z224" s="241"/>
    </row>
    <row r="225" spans="3:26" ht="16.5">
      <c r="C225" s="101"/>
      <c r="D225" s="101"/>
      <c r="E225" s="101"/>
      <c r="F225" s="101"/>
      <c r="G225" s="101"/>
      <c r="H225" s="101"/>
      <c r="I225" s="101"/>
      <c r="J225" s="101"/>
      <c r="S225" s="101"/>
      <c r="T225" s="241"/>
      <c r="U225" s="241"/>
      <c r="V225" s="241"/>
      <c r="W225" s="241"/>
      <c r="X225" s="241"/>
      <c r="Y225" s="241"/>
      <c r="Z225" s="241"/>
    </row>
    <row r="226" spans="3:26" ht="16.5">
      <c r="C226" s="101"/>
      <c r="D226" s="101"/>
      <c r="E226" s="101"/>
      <c r="F226" s="101"/>
      <c r="G226" s="101"/>
      <c r="H226" s="101"/>
      <c r="I226" s="101"/>
      <c r="J226" s="101"/>
      <c r="S226" s="101"/>
      <c r="T226" s="241"/>
      <c r="U226" s="241"/>
      <c r="V226" s="241"/>
      <c r="W226" s="241"/>
      <c r="X226" s="241"/>
      <c r="Y226" s="241"/>
      <c r="Z226" s="241"/>
    </row>
    <row r="227" spans="3:26" ht="16.5">
      <c r="C227" s="101"/>
      <c r="D227" s="101"/>
      <c r="E227" s="101"/>
      <c r="F227" s="101"/>
      <c r="G227" s="101"/>
      <c r="H227" s="101"/>
      <c r="I227" s="101"/>
      <c r="J227" s="101"/>
      <c r="S227" s="101"/>
      <c r="T227" s="241"/>
      <c r="U227" s="241"/>
      <c r="V227" s="241"/>
      <c r="W227" s="241"/>
      <c r="X227" s="241"/>
      <c r="Y227" s="241"/>
      <c r="Z227" s="241"/>
    </row>
    <row r="228" spans="3:26" ht="16.5">
      <c r="C228" s="101"/>
      <c r="D228" s="101"/>
      <c r="E228" s="101"/>
      <c r="F228" s="101"/>
      <c r="G228" s="101"/>
      <c r="H228" s="101"/>
      <c r="I228" s="101"/>
      <c r="J228" s="101"/>
      <c r="S228" s="101"/>
      <c r="T228" s="241"/>
      <c r="U228" s="241"/>
      <c r="V228" s="241"/>
      <c r="W228" s="241"/>
      <c r="X228" s="241"/>
      <c r="Y228" s="241"/>
      <c r="Z228" s="241"/>
    </row>
    <row r="229" spans="3:26" ht="16.5">
      <c r="C229" s="101"/>
      <c r="D229" s="101"/>
      <c r="E229" s="101"/>
      <c r="F229" s="101"/>
      <c r="G229" s="101"/>
      <c r="H229" s="101"/>
      <c r="I229" s="101"/>
      <c r="J229" s="101"/>
      <c r="S229" s="101"/>
      <c r="T229" s="241"/>
      <c r="U229" s="241"/>
      <c r="V229" s="241"/>
      <c r="W229" s="241"/>
      <c r="X229" s="241"/>
      <c r="Y229" s="241"/>
      <c r="Z229" s="241"/>
    </row>
    <row r="230" spans="3:26" ht="16.5">
      <c r="C230" s="101"/>
      <c r="D230" s="101"/>
      <c r="E230" s="101"/>
      <c r="F230" s="101"/>
      <c r="G230" s="101"/>
      <c r="H230" s="101"/>
      <c r="I230" s="101"/>
      <c r="J230" s="101"/>
      <c r="S230" s="101"/>
      <c r="T230" s="241"/>
      <c r="U230" s="241"/>
      <c r="V230" s="241"/>
      <c r="W230" s="241"/>
      <c r="X230" s="241"/>
      <c r="Y230" s="241"/>
      <c r="Z230" s="241"/>
    </row>
    <row r="231" spans="3:26" ht="16.5">
      <c r="C231" s="101"/>
      <c r="D231" s="101"/>
      <c r="E231" s="101"/>
      <c r="F231" s="101"/>
      <c r="G231" s="101"/>
      <c r="H231" s="101"/>
      <c r="I231" s="101"/>
      <c r="J231" s="101"/>
      <c r="S231" s="101"/>
      <c r="T231" s="241"/>
      <c r="U231" s="241"/>
      <c r="V231" s="241"/>
      <c r="W231" s="241"/>
      <c r="X231" s="241"/>
      <c r="Y231" s="241"/>
      <c r="Z231" s="241"/>
    </row>
    <row r="232" spans="3:26" ht="16.5">
      <c r="C232" s="101"/>
      <c r="D232" s="101"/>
      <c r="E232" s="101"/>
      <c r="F232" s="101"/>
      <c r="G232" s="101"/>
      <c r="H232" s="101"/>
      <c r="I232" s="101"/>
      <c r="J232" s="101"/>
      <c r="S232" s="101"/>
      <c r="T232" s="241"/>
      <c r="U232" s="241"/>
      <c r="V232" s="241"/>
      <c r="W232" s="241"/>
      <c r="X232" s="241"/>
      <c r="Y232" s="241"/>
      <c r="Z232" s="241"/>
    </row>
    <row r="233" spans="3:26" ht="16.5">
      <c r="C233" s="101"/>
      <c r="D233" s="101"/>
      <c r="E233" s="101"/>
      <c r="F233" s="101"/>
      <c r="G233" s="101"/>
      <c r="H233" s="101"/>
      <c r="I233" s="101"/>
      <c r="J233" s="101"/>
      <c r="S233" s="101"/>
      <c r="T233" s="241"/>
      <c r="U233" s="241"/>
      <c r="V233" s="241"/>
      <c r="W233" s="241"/>
      <c r="X233" s="241"/>
      <c r="Y233" s="241"/>
      <c r="Z233" s="241"/>
    </row>
    <row r="234" spans="3:26" ht="16.5">
      <c r="C234" s="101"/>
      <c r="D234" s="101"/>
      <c r="E234" s="101"/>
      <c r="F234" s="101"/>
      <c r="G234" s="101"/>
      <c r="H234" s="101"/>
      <c r="I234" s="101"/>
      <c r="J234" s="101"/>
      <c r="S234" s="101"/>
      <c r="T234" s="241"/>
      <c r="U234" s="241"/>
      <c r="V234" s="241"/>
      <c r="W234" s="241"/>
      <c r="X234" s="241"/>
      <c r="Y234" s="241"/>
      <c r="Z234" s="241"/>
    </row>
    <row r="235" spans="3:26" ht="16.5">
      <c r="C235" s="101"/>
      <c r="D235" s="101"/>
      <c r="E235" s="101"/>
      <c r="F235" s="101"/>
      <c r="G235" s="101"/>
      <c r="H235" s="101"/>
      <c r="I235" s="101"/>
      <c r="J235" s="101"/>
      <c r="S235" s="101"/>
      <c r="T235" s="241"/>
      <c r="U235" s="241"/>
      <c r="V235" s="241"/>
      <c r="W235" s="241"/>
      <c r="X235" s="241"/>
      <c r="Y235" s="241"/>
      <c r="Z235" s="241"/>
    </row>
    <row r="236" spans="3:26" ht="16.5">
      <c r="C236" s="101"/>
      <c r="D236" s="101"/>
      <c r="E236" s="101"/>
      <c r="F236" s="101"/>
      <c r="G236" s="101"/>
      <c r="H236" s="101"/>
      <c r="I236" s="101"/>
      <c r="J236" s="101"/>
      <c r="S236" s="101"/>
      <c r="T236" s="241"/>
      <c r="U236" s="241"/>
      <c r="V236" s="241"/>
      <c r="W236" s="241"/>
      <c r="X236" s="241"/>
      <c r="Y236" s="241"/>
      <c r="Z236" s="241"/>
    </row>
    <row r="237" spans="3:26" ht="16.5">
      <c r="C237" s="101"/>
      <c r="D237" s="101"/>
      <c r="E237" s="101"/>
      <c r="F237" s="101"/>
      <c r="G237" s="101"/>
      <c r="H237" s="101"/>
      <c r="I237" s="101"/>
      <c r="J237" s="101"/>
      <c r="S237" s="101"/>
      <c r="T237" s="241"/>
      <c r="U237" s="241"/>
      <c r="V237" s="241"/>
      <c r="W237" s="241"/>
      <c r="X237" s="241"/>
      <c r="Y237" s="241"/>
      <c r="Z237" s="241"/>
    </row>
    <row r="238" spans="3:26" ht="16.5">
      <c r="C238" s="101"/>
      <c r="D238" s="101"/>
      <c r="E238" s="101"/>
      <c r="F238" s="101"/>
      <c r="G238" s="101"/>
      <c r="H238" s="101"/>
      <c r="I238" s="101"/>
      <c r="J238" s="101"/>
      <c r="S238" s="101"/>
      <c r="T238" s="241"/>
      <c r="U238" s="241"/>
      <c r="V238" s="241"/>
      <c r="W238" s="241"/>
      <c r="X238" s="241"/>
      <c r="Y238" s="241"/>
      <c r="Z238" s="241"/>
    </row>
    <row r="239" spans="3:26" ht="16.5">
      <c r="C239" s="101"/>
      <c r="D239" s="101"/>
      <c r="E239" s="101"/>
      <c r="F239" s="101"/>
      <c r="G239" s="101"/>
      <c r="H239" s="101"/>
      <c r="I239" s="101"/>
      <c r="J239" s="101"/>
      <c r="S239" s="101"/>
      <c r="T239" s="241"/>
      <c r="U239" s="241"/>
      <c r="V239" s="241"/>
      <c r="W239" s="241"/>
      <c r="X239" s="241"/>
      <c r="Y239" s="241"/>
      <c r="Z239" s="241"/>
    </row>
    <row r="240" spans="3:26" ht="16.5">
      <c r="C240" s="101"/>
      <c r="D240" s="101"/>
      <c r="E240" s="101"/>
      <c r="F240" s="101"/>
      <c r="G240" s="101"/>
      <c r="H240" s="101"/>
      <c r="I240" s="101"/>
      <c r="J240" s="101"/>
      <c r="S240" s="101"/>
      <c r="T240" s="241"/>
      <c r="U240" s="241"/>
      <c r="V240" s="241"/>
      <c r="W240" s="241"/>
      <c r="X240" s="241"/>
      <c r="Y240" s="241"/>
      <c r="Z240" s="241"/>
    </row>
    <row r="241" spans="3:26" ht="16.5">
      <c r="C241" s="101"/>
      <c r="D241" s="101"/>
      <c r="E241" s="101"/>
      <c r="F241" s="101"/>
      <c r="G241" s="101"/>
      <c r="H241" s="101"/>
      <c r="I241" s="101"/>
      <c r="J241" s="101"/>
      <c r="S241" s="101"/>
      <c r="T241" s="241"/>
      <c r="U241" s="241"/>
      <c r="V241" s="241"/>
      <c r="W241" s="241"/>
      <c r="X241" s="241"/>
      <c r="Y241" s="241"/>
      <c r="Z241" s="241"/>
    </row>
    <row r="242" spans="3:26" ht="16.5">
      <c r="C242" s="101"/>
      <c r="D242" s="101"/>
      <c r="E242" s="101"/>
      <c r="F242" s="101"/>
      <c r="G242" s="101"/>
      <c r="H242" s="101"/>
      <c r="I242" s="101"/>
      <c r="J242" s="101"/>
      <c r="S242" s="101"/>
      <c r="T242" s="241"/>
      <c r="U242" s="241"/>
      <c r="V242" s="241"/>
      <c r="W242" s="241"/>
      <c r="X242" s="241"/>
      <c r="Y242" s="241"/>
      <c r="Z242" s="241"/>
    </row>
    <row r="243" spans="3:26" ht="16.5">
      <c r="C243" s="101"/>
      <c r="D243" s="101"/>
      <c r="E243" s="101"/>
      <c r="F243" s="101"/>
      <c r="G243" s="101"/>
      <c r="H243" s="101"/>
      <c r="I243" s="101"/>
      <c r="J243" s="101"/>
      <c r="S243" s="101"/>
      <c r="T243" s="241"/>
      <c r="U243" s="241"/>
      <c r="V243" s="241"/>
      <c r="W243" s="241"/>
      <c r="X243" s="241"/>
      <c r="Y243" s="241"/>
      <c r="Z243" s="241"/>
    </row>
    <row r="244" spans="3:26" ht="16.5">
      <c r="C244" s="101"/>
      <c r="D244" s="101"/>
      <c r="E244" s="101"/>
      <c r="F244" s="101"/>
      <c r="G244" s="101"/>
      <c r="H244" s="101"/>
      <c r="I244" s="101"/>
      <c r="J244" s="101"/>
      <c r="S244" s="101"/>
      <c r="T244" s="241"/>
      <c r="U244" s="241"/>
      <c r="V244" s="241"/>
      <c r="W244" s="241"/>
      <c r="X244" s="241"/>
      <c r="Y244" s="241"/>
      <c r="Z244" s="241"/>
    </row>
    <row r="245" spans="3:26" ht="16.5">
      <c r="C245" s="101"/>
      <c r="D245" s="101"/>
      <c r="E245" s="101"/>
      <c r="F245" s="101"/>
      <c r="G245" s="101"/>
      <c r="H245" s="101"/>
      <c r="I245" s="101"/>
      <c r="J245" s="101"/>
      <c r="S245" s="101"/>
      <c r="T245" s="241"/>
      <c r="U245" s="241"/>
      <c r="V245" s="241"/>
      <c r="W245" s="241"/>
      <c r="X245" s="241"/>
      <c r="Y245" s="241"/>
      <c r="Z245" s="241"/>
    </row>
    <row r="246" spans="3:26" ht="16.5">
      <c r="C246" s="101"/>
      <c r="D246" s="101"/>
      <c r="E246" s="101"/>
      <c r="F246" s="101"/>
      <c r="G246" s="101"/>
      <c r="H246" s="101"/>
      <c r="I246" s="101"/>
      <c r="J246" s="101"/>
      <c r="S246" s="101"/>
      <c r="T246" s="241"/>
      <c r="U246" s="241"/>
      <c r="V246" s="241"/>
      <c r="W246" s="241"/>
      <c r="X246" s="241"/>
      <c r="Y246" s="241"/>
      <c r="Z246" s="241"/>
    </row>
    <row r="247" spans="3:26" ht="16.5">
      <c r="C247" s="101"/>
      <c r="D247" s="101"/>
      <c r="E247" s="101"/>
      <c r="F247" s="101"/>
      <c r="G247" s="101"/>
      <c r="H247" s="101"/>
      <c r="I247" s="101"/>
      <c r="J247" s="101"/>
      <c r="S247" s="101"/>
      <c r="T247" s="241"/>
      <c r="U247" s="241"/>
      <c r="V247" s="241"/>
      <c r="W247" s="241"/>
      <c r="X247" s="241"/>
      <c r="Y247" s="241"/>
      <c r="Z247" s="241"/>
    </row>
    <row r="248" spans="3:26" ht="16.5">
      <c r="C248" s="101"/>
      <c r="D248" s="101"/>
      <c r="E248" s="101"/>
      <c r="F248" s="101"/>
      <c r="G248" s="101"/>
      <c r="H248" s="101"/>
      <c r="I248" s="101"/>
      <c r="J248" s="101"/>
      <c r="S248" s="101"/>
      <c r="T248" s="241"/>
      <c r="U248" s="241"/>
      <c r="V248" s="241"/>
      <c r="W248" s="241"/>
      <c r="X248" s="241"/>
      <c r="Y248" s="241"/>
      <c r="Z248" s="241"/>
    </row>
    <row r="249" spans="3:26" ht="16.5">
      <c r="C249" s="101"/>
      <c r="D249" s="101"/>
      <c r="E249" s="101"/>
      <c r="F249" s="101"/>
      <c r="G249" s="101"/>
      <c r="H249" s="101"/>
      <c r="I249" s="101"/>
      <c r="J249" s="101"/>
      <c r="S249" s="101"/>
      <c r="T249" s="241"/>
      <c r="U249" s="241"/>
      <c r="V249" s="241"/>
      <c r="W249" s="241"/>
      <c r="X249" s="241"/>
      <c r="Y249" s="241"/>
      <c r="Z249" s="241"/>
    </row>
    <row r="250" spans="3:26" ht="16.5">
      <c r="C250" s="101"/>
      <c r="D250" s="101"/>
      <c r="E250" s="101"/>
      <c r="F250" s="101"/>
      <c r="G250" s="101"/>
      <c r="H250" s="101"/>
      <c r="I250" s="101"/>
      <c r="J250" s="101"/>
      <c r="S250" s="101"/>
      <c r="T250" s="241"/>
      <c r="U250" s="241"/>
      <c r="V250" s="241"/>
      <c r="W250" s="241"/>
      <c r="X250" s="241"/>
      <c r="Y250" s="241"/>
      <c r="Z250" s="241"/>
    </row>
    <row r="251" spans="3:26" ht="16.5">
      <c r="C251" s="101"/>
      <c r="D251" s="101"/>
      <c r="E251" s="101"/>
      <c r="F251" s="101"/>
      <c r="G251" s="101"/>
      <c r="H251" s="101"/>
      <c r="I251" s="101"/>
      <c r="J251" s="101"/>
      <c r="S251" s="101"/>
      <c r="T251" s="241"/>
      <c r="U251" s="241"/>
      <c r="V251" s="241"/>
      <c r="W251" s="241"/>
      <c r="X251" s="241"/>
      <c r="Y251" s="241"/>
      <c r="Z251" s="241"/>
    </row>
    <row r="252" spans="3:26" ht="16.5">
      <c r="C252" s="101"/>
      <c r="D252" s="101"/>
      <c r="E252" s="101"/>
      <c r="F252" s="101"/>
      <c r="G252" s="101"/>
      <c r="H252" s="101"/>
      <c r="I252" s="101"/>
      <c r="J252" s="101"/>
      <c r="S252" s="101"/>
      <c r="T252" s="241"/>
      <c r="U252" s="241"/>
      <c r="V252" s="241"/>
      <c r="W252" s="241"/>
      <c r="X252" s="241"/>
      <c r="Y252" s="241"/>
      <c r="Z252" s="241"/>
    </row>
    <row r="253" spans="3:26" ht="16.5">
      <c r="C253" s="101"/>
      <c r="D253" s="101"/>
      <c r="E253" s="101"/>
      <c r="F253" s="101"/>
      <c r="G253" s="101"/>
      <c r="H253" s="101"/>
      <c r="I253" s="101"/>
      <c r="J253" s="101"/>
      <c r="S253" s="101"/>
      <c r="T253" s="241"/>
      <c r="U253" s="241"/>
      <c r="V253" s="241"/>
      <c r="W253" s="241"/>
      <c r="X253" s="241"/>
      <c r="Y253" s="241"/>
      <c r="Z253" s="241"/>
    </row>
    <row r="254" spans="3:26" ht="16.5">
      <c r="C254" s="101"/>
      <c r="D254" s="101"/>
      <c r="E254" s="101"/>
      <c r="F254" s="101"/>
      <c r="G254" s="101"/>
      <c r="H254" s="101"/>
      <c r="I254" s="101"/>
      <c r="J254" s="101"/>
      <c r="S254" s="101"/>
      <c r="T254" s="241"/>
      <c r="U254" s="241"/>
      <c r="V254" s="241"/>
      <c r="W254" s="241"/>
      <c r="X254" s="241"/>
      <c r="Y254" s="241"/>
      <c r="Z254" s="241"/>
    </row>
    <row r="255" spans="3:26" ht="16.5">
      <c r="C255" s="101"/>
      <c r="D255" s="101"/>
      <c r="E255" s="101"/>
      <c r="F255" s="101"/>
      <c r="G255" s="101"/>
      <c r="H255" s="101"/>
      <c r="I255" s="101"/>
      <c r="J255" s="101"/>
      <c r="S255" s="101"/>
      <c r="T255" s="241"/>
      <c r="U255" s="241"/>
      <c r="V255" s="241"/>
      <c r="W255" s="241"/>
      <c r="X255" s="241"/>
      <c r="Y255" s="241"/>
      <c r="Z255" s="241"/>
    </row>
    <row r="256" spans="3:26" ht="16.5">
      <c r="C256" s="101"/>
      <c r="D256" s="101"/>
      <c r="E256" s="101"/>
      <c r="F256" s="101"/>
      <c r="G256" s="101"/>
      <c r="H256" s="101"/>
      <c r="I256" s="101"/>
      <c r="J256" s="101"/>
      <c r="S256" s="101"/>
      <c r="T256" s="241"/>
      <c r="U256" s="241"/>
      <c r="V256" s="241"/>
      <c r="W256" s="241"/>
      <c r="X256" s="241"/>
      <c r="Y256" s="241"/>
      <c r="Z256" s="241"/>
    </row>
    <row r="257" spans="3:26" ht="16.5">
      <c r="C257" s="101"/>
      <c r="D257" s="101"/>
      <c r="E257" s="101"/>
      <c r="F257" s="101"/>
      <c r="G257" s="101"/>
      <c r="H257" s="101"/>
      <c r="I257" s="101"/>
      <c r="J257" s="101"/>
      <c r="S257" s="101"/>
      <c r="T257" s="241"/>
      <c r="U257" s="241"/>
      <c r="V257" s="241"/>
      <c r="W257" s="241"/>
      <c r="X257" s="241"/>
      <c r="Y257" s="241"/>
      <c r="Z257" s="241"/>
    </row>
    <row r="258" spans="3:26" ht="16.5">
      <c r="C258" s="101"/>
      <c r="D258" s="101"/>
      <c r="E258" s="101"/>
      <c r="F258" s="101"/>
      <c r="G258" s="101"/>
      <c r="H258" s="101"/>
      <c r="I258" s="101"/>
      <c r="J258" s="101"/>
      <c r="S258" s="101"/>
      <c r="T258" s="241"/>
      <c r="U258" s="241"/>
      <c r="V258" s="241"/>
      <c r="W258" s="241"/>
      <c r="X258" s="241"/>
      <c r="Y258" s="241"/>
      <c r="Z258" s="241"/>
    </row>
    <row r="259" spans="3:26" ht="16.5">
      <c r="C259" s="101"/>
      <c r="D259" s="101"/>
      <c r="E259" s="101"/>
      <c r="F259" s="101"/>
      <c r="G259" s="101"/>
      <c r="H259" s="101"/>
      <c r="I259" s="101"/>
      <c r="J259" s="101"/>
      <c r="S259" s="101"/>
      <c r="T259" s="241"/>
      <c r="U259" s="241"/>
      <c r="V259" s="241"/>
      <c r="W259" s="241"/>
      <c r="X259" s="241"/>
      <c r="Y259" s="241"/>
      <c r="Z259" s="241"/>
    </row>
    <row r="260" spans="3:26" ht="16.5">
      <c r="C260" s="101"/>
      <c r="D260" s="101"/>
      <c r="E260" s="101"/>
      <c r="F260" s="101"/>
      <c r="G260" s="101"/>
      <c r="H260" s="101"/>
      <c r="I260" s="101"/>
      <c r="J260" s="101"/>
      <c r="S260" s="101"/>
      <c r="T260" s="241"/>
      <c r="U260" s="241"/>
      <c r="V260" s="241"/>
      <c r="W260" s="241"/>
      <c r="X260" s="241"/>
      <c r="Y260" s="241"/>
      <c r="Z260" s="241"/>
    </row>
    <row r="261" spans="3:26" ht="16.5">
      <c r="C261" s="101"/>
      <c r="D261" s="101"/>
      <c r="E261" s="101"/>
      <c r="F261" s="101"/>
      <c r="G261" s="101"/>
      <c r="H261" s="101"/>
      <c r="I261" s="101"/>
      <c r="J261" s="101"/>
      <c r="S261" s="101"/>
      <c r="T261" s="241"/>
      <c r="U261" s="241"/>
      <c r="V261" s="241"/>
      <c r="W261" s="241"/>
      <c r="X261" s="241"/>
      <c r="Y261" s="241"/>
      <c r="Z261" s="241"/>
    </row>
    <row r="262" spans="3:26" ht="16.5">
      <c r="C262" s="101"/>
      <c r="D262" s="101"/>
      <c r="E262" s="101"/>
      <c r="F262" s="101"/>
      <c r="G262" s="101"/>
      <c r="H262" s="101"/>
      <c r="I262" s="101"/>
      <c r="J262" s="101"/>
      <c r="S262" s="101"/>
      <c r="T262" s="241"/>
      <c r="U262" s="241"/>
      <c r="V262" s="241"/>
      <c r="W262" s="241"/>
      <c r="X262" s="241"/>
      <c r="Y262" s="241"/>
      <c r="Z262" s="241"/>
    </row>
    <row r="263" spans="3:26" ht="16.5">
      <c r="C263" s="101"/>
      <c r="D263" s="101"/>
      <c r="E263" s="101"/>
      <c r="F263" s="101"/>
      <c r="G263" s="101"/>
      <c r="H263" s="101"/>
      <c r="I263" s="101"/>
      <c r="J263" s="101"/>
      <c r="S263" s="101"/>
      <c r="T263" s="241"/>
      <c r="U263" s="241"/>
      <c r="V263" s="241"/>
      <c r="W263" s="241"/>
      <c r="X263" s="241"/>
      <c r="Y263" s="241"/>
      <c r="Z263" s="241"/>
    </row>
    <row r="264" spans="3:26" ht="16.5">
      <c r="C264" s="101"/>
      <c r="D264" s="101"/>
      <c r="E264" s="101"/>
      <c r="F264" s="101"/>
      <c r="G264" s="101"/>
      <c r="H264" s="101"/>
      <c r="I264" s="101"/>
      <c r="J264" s="101"/>
      <c r="S264" s="101"/>
      <c r="T264" s="241"/>
      <c r="U264" s="241"/>
      <c r="V264" s="241"/>
      <c r="W264" s="241"/>
      <c r="X264" s="241"/>
      <c r="Y264" s="241"/>
      <c r="Z264" s="241"/>
    </row>
    <row r="265" spans="3:26" ht="16.5">
      <c r="C265" s="101"/>
      <c r="D265" s="101"/>
      <c r="E265" s="101"/>
      <c r="F265" s="101"/>
      <c r="G265" s="101"/>
      <c r="H265" s="101"/>
      <c r="I265" s="101"/>
      <c r="J265" s="101"/>
      <c r="S265" s="101"/>
      <c r="T265" s="241"/>
      <c r="U265" s="241"/>
      <c r="V265" s="241"/>
      <c r="W265" s="241"/>
      <c r="X265" s="241"/>
      <c r="Y265" s="241"/>
      <c r="Z265" s="241"/>
    </row>
    <row r="266" spans="3:26" ht="16.5">
      <c r="C266" s="101"/>
      <c r="D266" s="101"/>
      <c r="E266" s="101"/>
      <c r="F266" s="101"/>
      <c r="G266" s="101"/>
      <c r="H266" s="101"/>
      <c r="I266" s="101"/>
      <c r="J266" s="101"/>
      <c r="S266" s="101"/>
      <c r="T266" s="241"/>
      <c r="U266" s="241"/>
      <c r="V266" s="241"/>
      <c r="W266" s="241"/>
      <c r="X266" s="241"/>
      <c r="Y266" s="241"/>
      <c r="Z266" s="241"/>
    </row>
    <row r="267" spans="3:26" ht="16.5">
      <c r="C267" s="101"/>
      <c r="D267" s="101"/>
      <c r="E267" s="101"/>
      <c r="F267" s="101"/>
      <c r="G267" s="101"/>
      <c r="H267" s="101"/>
      <c r="I267" s="101"/>
      <c r="J267" s="101"/>
      <c r="S267" s="101"/>
      <c r="T267" s="241"/>
      <c r="U267" s="241"/>
      <c r="V267" s="241"/>
      <c r="W267" s="241"/>
      <c r="X267" s="241"/>
      <c r="Y267" s="241"/>
      <c r="Z267" s="241"/>
    </row>
    <row r="268" spans="3:26" ht="16.5">
      <c r="C268" s="101"/>
      <c r="D268" s="101"/>
      <c r="E268" s="101"/>
      <c r="F268" s="101"/>
      <c r="G268" s="101"/>
      <c r="H268" s="101"/>
      <c r="I268" s="101"/>
      <c r="J268" s="101"/>
      <c r="S268" s="101"/>
      <c r="T268" s="241"/>
      <c r="U268" s="241"/>
      <c r="V268" s="241"/>
      <c r="W268" s="241"/>
      <c r="X268" s="241"/>
      <c r="Y268" s="241"/>
      <c r="Z268" s="241"/>
    </row>
    <row r="269" spans="3:26" ht="16.5">
      <c r="C269" s="101"/>
      <c r="D269" s="101"/>
      <c r="E269" s="101"/>
      <c r="F269" s="101"/>
      <c r="G269" s="101"/>
      <c r="H269" s="101"/>
      <c r="I269" s="101"/>
      <c r="J269" s="101"/>
      <c r="S269" s="101"/>
      <c r="T269" s="241"/>
      <c r="U269" s="241"/>
      <c r="V269" s="241"/>
      <c r="W269" s="241"/>
      <c r="X269" s="241"/>
      <c r="Y269" s="241"/>
      <c r="Z269" s="241"/>
    </row>
    <row r="270" spans="3:26" ht="16.5">
      <c r="C270" s="101"/>
      <c r="D270" s="101"/>
      <c r="E270" s="101"/>
      <c r="F270" s="101"/>
      <c r="G270" s="101"/>
      <c r="H270" s="101"/>
      <c r="I270" s="101"/>
      <c r="J270" s="101"/>
      <c r="S270" s="101"/>
      <c r="T270" s="241"/>
      <c r="U270" s="241"/>
      <c r="V270" s="241"/>
      <c r="W270" s="241"/>
      <c r="X270" s="241"/>
      <c r="Y270" s="241"/>
      <c r="Z270" s="241"/>
    </row>
    <row r="271" spans="3:26" ht="16.5">
      <c r="C271" s="101"/>
      <c r="D271" s="101"/>
      <c r="E271" s="101"/>
      <c r="F271" s="101"/>
      <c r="G271" s="101"/>
      <c r="H271" s="101"/>
      <c r="I271" s="101"/>
      <c r="J271" s="101"/>
      <c r="S271" s="101"/>
      <c r="T271" s="241"/>
      <c r="U271" s="241"/>
      <c r="V271" s="241"/>
      <c r="W271" s="241"/>
      <c r="X271" s="241"/>
      <c r="Y271" s="241"/>
      <c r="Z271" s="241"/>
    </row>
    <row r="272" spans="3:26" ht="16.5">
      <c r="C272" s="101"/>
      <c r="D272" s="101"/>
      <c r="E272" s="101"/>
      <c r="F272" s="101"/>
      <c r="G272" s="101"/>
      <c r="H272" s="101"/>
      <c r="I272" s="101"/>
      <c r="J272" s="101"/>
      <c r="S272" s="101"/>
      <c r="T272" s="241"/>
      <c r="U272" s="241"/>
      <c r="V272" s="241"/>
      <c r="W272" s="241"/>
      <c r="X272" s="241"/>
      <c r="Y272" s="241"/>
      <c r="Z272" s="241"/>
    </row>
    <row r="273" spans="3:26" ht="16.5">
      <c r="C273" s="101"/>
      <c r="D273" s="101"/>
      <c r="E273" s="101"/>
      <c r="F273" s="101"/>
      <c r="G273" s="101"/>
      <c r="H273" s="101"/>
      <c r="I273" s="101"/>
      <c r="J273" s="101"/>
      <c r="S273" s="101"/>
      <c r="T273" s="241"/>
      <c r="U273" s="241"/>
      <c r="V273" s="241"/>
      <c r="W273" s="241"/>
      <c r="X273" s="241"/>
      <c r="Y273" s="241"/>
      <c r="Z273" s="241"/>
    </row>
    <row r="274" spans="3:26" ht="16.5">
      <c r="C274" s="101"/>
      <c r="D274" s="101"/>
      <c r="E274" s="101"/>
      <c r="F274" s="101"/>
      <c r="G274" s="101"/>
      <c r="H274" s="101"/>
      <c r="I274" s="101"/>
      <c r="J274" s="101"/>
      <c r="S274" s="101"/>
      <c r="T274" s="241"/>
      <c r="U274" s="241"/>
      <c r="V274" s="241"/>
      <c r="W274" s="241"/>
      <c r="X274" s="241"/>
      <c r="Y274" s="241"/>
      <c r="Z274" s="241"/>
    </row>
    <row r="275" spans="3:26" ht="16.5">
      <c r="C275" s="101"/>
      <c r="D275" s="101"/>
      <c r="E275" s="101"/>
      <c r="F275" s="101"/>
      <c r="G275" s="101"/>
      <c r="H275" s="101"/>
      <c r="I275" s="101"/>
      <c r="J275" s="101"/>
      <c r="S275" s="101"/>
      <c r="T275" s="241"/>
      <c r="U275" s="241"/>
      <c r="V275" s="241"/>
      <c r="W275" s="241"/>
      <c r="X275" s="241"/>
      <c r="Y275" s="241"/>
      <c r="Z275" s="241"/>
    </row>
    <row r="276" spans="3:26" ht="16.5">
      <c r="C276" s="101"/>
      <c r="D276" s="101"/>
      <c r="E276" s="101"/>
      <c r="F276" s="101"/>
      <c r="G276" s="101"/>
      <c r="H276" s="101"/>
      <c r="I276" s="101"/>
      <c r="J276" s="101"/>
      <c r="S276" s="101"/>
      <c r="T276" s="241"/>
      <c r="U276" s="241"/>
      <c r="V276" s="241"/>
      <c r="W276" s="241"/>
      <c r="X276" s="241"/>
      <c r="Y276" s="241"/>
      <c r="Z276" s="241"/>
    </row>
    <row r="277" spans="3:26" ht="16.5">
      <c r="C277" s="101"/>
      <c r="D277" s="101"/>
      <c r="E277" s="101"/>
      <c r="F277" s="101"/>
      <c r="G277" s="101"/>
      <c r="H277" s="101"/>
      <c r="I277" s="101"/>
      <c r="J277" s="101"/>
      <c r="S277" s="101"/>
      <c r="T277" s="241"/>
      <c r="U277" s="241"/>
      <c r="V277" s="241"/>
      <c r="W277" s="241"/>
      <c r="X277" s="241"/>
      <c r="Y277" s="241"/>
      <c r="Z277" s="241"/>
    </row>
    <row r="278" spans="3:26" ht="16.5">
      <c r="C278" s="101"/>
      <c r="D278" s="101"/>
      <c r="E278" s="101"/>
      <c r="F278" s="101"/>
      <c r="G278" s="101"/>
      <c r="H278" s="101"/>
      <c r="I278" s="101"/>
      <c r="J278" s="101"/>
      <c r="S278" s="101"/>
      <c r="T278" s="241"/>
      <c r="U278" s="241"/>
      <c r="V278" s="241"/>
      <c r="W278" s="241"/>
      <c r="X278" s="241"/>
      <c r="Y278" s="241"/>
      <c r="Z278" s="241"/>
    </row>
    <row r="279" spans="3:26" ht="16.5">
      <c r="C279" s="101"/>
      <c r="D279" s="101"/>
      <c r="E279" s="101"/>
      <c r="F279" s="101"/>
      <c r="G279" s="101"/>
      <c r="H279" s="101"/>
      <c r="I279" s="101"/>
      <c r="J279" s="101"/>
      <c r="S279" s="101"/>
      <c r="T279" s="241"/>
      <c r="U279" s="241"/>
      <c r="V279" s="241"/>
      <c r="W279" s="241"/>
      <c r="X279" s="241"/>
      <c r="Y279" s="241"/>
      <c r="Z279" s="241"/>
    </row>
    <row r="280" spans="3:26" ht="16.5">
      <c r="C280" s="101"/>
      <c r="D280" s="101"/>
      <c r="E280" s="101"/>
      <c r="F280" s="101"/>
      <c r="G280" s="101"/>
      <c r="H280" s="101"/>
      <c r="I280" s="101"/>
      <c r="J280" s="101"/>
      <c r="S280" s="101"/>
      <c r="T280" s="241"/>
      <c r="U280" s="241"/>
      <c r="V280" s="241"/>
      <c r="W280" s="241"/>
      <c r="X280" s="241"/>
      <c r="Y280" s="241"/>
      <c r="Z280" s="241"/>
    </row>
    <row r="281" spans="3:26" ht="16.5">
      <c r="C281" s="101"/>
      <c r="D281" s="101"/>
      <c r="E281" s="101"/>
      <c r="F281" s="101"/>
      <c r="G281" s="101"/>
      <c r="H281" s="101"/>
      <c r="I281" s="101"/>
      <c r="J281" s="101"/>
      <c r="S281" s="101"/>
      <c r="T281" s="241"/>
      <c r="U281" s="241"/>
      <c r="V281" s="241"/>
      <c r="W281" s="241"/>
      <c r="X281" s="241"/>
      <c r="Y281" s="241"/>
      <c r="Z281" s="241"/>
    </row>
    <row r="282" spans="3:26" ht="16.5">
      <c r="C282" s="101"/>
      <c r="D282" s="101"/>
      <c r="E282" s="101"/>
      <c r="F282" s="101"/>
      <c r="G282" s="101"/>
      <c r="H282" s="101"/>
      <c r="I282" s="101"/>
      <c r="J282" s="101"/>
      <c r="S282" s="101"/>
      <c r="T282" s="241"/>
      <c r="U282" s="241"/>
      <c r="V282" s="241"/>
      <c r="W282" s="241"/>
      <c r="X282" s="241"/>
      <c r="Y282" s="241"/>
      <c r="Z282" s="241"/>
    </row>
    <row r="283" spans="3:26" ht="16.5">
      <c r="C283" s="101"/>
      <c r="D283" s="101"/>
      <c r="E283" s="101"/>
      <c r="F283" s="101"/>
      <c r="G283" s="101"/>
      <c r="H283" s="101"/>
      <c r="I283" s="101"/>
      <c r="J283" s="101"/>
      <c r="S283" s="101"/>
      <c r="T283" s="241"/>
      <c r="U283" s="241"/>
      <c r="V283" s="241"/>
      <c r="W283" s="241"/>
      <c r="X283" s="241"/>
      <c r="Y283" s="241"/>
      <c r="Z283" s="241"/>
    </row>
    <row r="284" spans="3:26" ht="16.5">
      <c r="C284" s="101"/>
      <c r="D284" s="101"/>
      <c r="E284" s="101"/>
      <c r="F284" s="101"/>
      <c r="G284" s="101"/>
      <c r="H284" s="101"/>
      <c r="I284" s="101"/>
      <c r="J284" s="101"/>
      <c r="S284" s="101"/>
      <c r="T284" s="241"/>
      <c r="U284" s="241"/>
      <c r="V284" s="241"/>
      <c r="W284" s="241"/>
      <c r="X284" s="241"/>
      <c r="Y284" s="241"/>
      <c r="Z284" s="241"/>
    </row>
    <row r="285" spans="3:26" ht="16.5">
      <c r="C285" s="101"/>
      <c r="D285" s="101"/>
      <c r="E285" s="101"/>
      <c r="F285" s="101"/>
      <c r="G285" s="101"/>
      <c r="H285" s="101"/>
      <c r="I285" s="101"/>
      <c r="J285" s="101"/>
      <c r="S285" s="101"/>
      <c r="T285" s="241"/>
      <c r="U285" s="241"/>
      <c r="V285" s="241"/>
      <c r="W285" s="241"/>
      <c r="X285" s="241"/>
      <c r="Y285" s="241"/>
      <c r="Z285" s="241"/>
    </row>
    <row r="286" spans="3:26" ht="16.5">
      <c r="C286" s="101"/>
      <c r="D286" s="101"/>
      <c r="E286" s="101"/>
      <c r="F286" s="101"/>
      <c r="G286" s="101"/>
      <c r="H286" s="101"/>
      <c r="I286" s="101"/>
      <c r="J286" s="101"/>
      <c r="S286" s="101"/>
      <c r="T286" s="241"/>
      <c r="U286" s="241"/>
      <c r="V286" s="241"/>
      <c r="W286" s="241"/>
      <c r="X286" s="241"/>
      <c r="Y286" s="241"/>
      <c r="Z286" s="241"/>
    </row>
    <row r="287" spans="3:26" ht="16.5">
      <c r="C287" s="101"/>
      <c r="D287" s="101"/>
      <c r="E287" s="101"/>
      <c r="F287" s="101"/>
      <c r="G287" s="101"/>
      <c r="H287" s="101"/>
      <c r="I287" s="101"/>
      <c r="J287" s="101"/>
      <c r="S287" s="101"/>
      <c r="T287" s="241"/>
      <c r="U287" s="241"/>
      <c r="V287" s="241"/>
      <c r="W287" s="241"/>
      <c r="X287" s="241"/>
      <c r="Y287" s="241"/>
      <c r="Z287" s="241"/>
    </row>
    <row r="288" spans="3:26" ht="16.5">
      <c r="C288" s="101"/>
      <c r="D288" s="101"/>
      <c r="E288" s="101"/>
      <c r="F288" s="101"/>
      <c r="G288" s="101"/>
      <c r="H288" s="101"/>
      <c r="I288" s="101"/>
      <c r="J288" s="101"/>
      <c r="S288" s="101"/>
      <c r="T288" s="241"/>
      <c r="U288" s="241"/>
      <c r="V288" s="241"/>
      <c r="W288" s="241"/>
      <c r="X288" s="241"/>
      <c r="Y288" s="241"/>
      <c r="Z288" s="241"/>
    </row>
    <row r="289" spans="3:26" ht="16.5">
      <c r="C289" s="101"/>
      <c r="D289" s="101"/>
      <c r="E289" s="101"/>
      <c r="F289" s="101"/>
      <c r="G289" s="101"/>
      <c r="H289" s="101"/>
      <c r="I289" s="101"/>
      <c r="J289" s="101"/>
      <c r="S289" s="101"/>
      <c r="T289" s="241"/>
      <c r="U289" s="241"/>
      <c r="V289" s="241"/>
      <c r="W289" s="241"/>
      <c r="X289" s="241"/>
      <c r="Y289" s="241"/>
      <c r="Z289" s="241"/>
    </row>
    <row r="290" spans="3:26" ht="16.5">
      <c r="C290" s="101"/>
      <c r="D290" s="101"/>
      <c r="E290" s="101"/>
      <c r="F290" s="101"/>
      <c r="G290" s="101"/>
      <c r="H290" s="101"/>
      <c r="I290" s="101"/>
      <c r="J290" s="101"/>
      <c r="S290" s="101"/>
      <c r="T290" s="241"/>
      <c r="U290" s="241"/>
      <c r="V290" s="241"/>
      <c r="W290" s="241"/>
      <c r="X290" s="241"/>
      <c r="Y290" s="241"/>
      <c r="Z290" s="241"/>
    </row>
    <row r="291" spans="3:26" ht="16.5">
      <c r="C291" s="101"/>
      <c r="D291" s="101"/>
      <c r="E291" s="101"/>
      <c r="F291" s="101"/>
      <c r="G291" s="101"/>
      <c r="H291" s="101"/>
      <c r="I291" s="101"/>
      <c r="J291" s="101"/>
      <c r="S291" s="101"/>
      <c r="T291" s="241"/>
      <c r="U291" s="241"/>
      <c r="V291" s="241"/>
      <c r="W291" s="241"/>
      <c r="X291" s="241"/>
      <c r="Y291" s="241"/>
      <c r="Z291" s="241"/>
    </row>
    <row r="292" spans="3:26" ht="16.5">
      <c r="C292" s="101"/>
      <c r="D292" s="101"/>
      <c r="E292" s="101"/>
      <c r="F292" s="101"/>
      <c r="G292" s="101"/>
      <c r="H292" s="101"/>
      <c r="I292" s="101"/>
      <c r="J292" s="101"/>
      <c r="S292" s="101"/>
      <c r="T292" s="241"/>
      <c r="U292" s="241"/>
      <c r="V292" s="241"/>
      <c r="W292" s="241"/>
      <c r="X292" s="241"/>
      <c r="Y292" s="241"/>
      <c r="Z292" s="241"/>
    </row>
    <row r="293" spans="3:26" ht="16.5">
      <c r="C293" s="101"/>
      <c r="D293" s="101"/>
      <c r="E293" s="101"/>
      <c r="F293" s="101"/>
      <c r="G293" s="101"/>
      <c r="H293" s="101"/>
      <c r="I293" s="101"/>
      <c r="J293" s="101"/>
      <c r="S293" s="101"/>
      <c r="T293" s="241"/>
      <c r="U293" s="241"/>
      <c r="V293" s="241"/>
      <c r="W293" s="241"/>
      <c r="X293" s="241"/>
      <c r="Y293" s="241"/>
      <c r="Z293" s="241"/>
    </row>
    <row r="294" spans="3:26" ht="16.5">
      <c r="C294" s="101"/>
      <c r="D294" s="101"/>
      <c r="E294" s="101"/>
      <c r="F294" s="101"/>
      <c r="G294" s="101"/>
      <c r="H294" s="101"/>
      <c r="I294" s="101"/>
      <c r="J294" s="101"/>
      <c r="S294" s="101"/>
      <c r="T294" s="241"/>
      <c r="U294" s="241"/>
      <c r="V294" s="241"/>
      <c r="W294" s="241"/>
      <c r="X294" s="241"/>
      <c r="Y294" s="241"/>
      <c r="Z294" s="241"/>
    </row>
    <row r="295" spans="3:26" ht="16.5">
      <c r="C295" s="101"/>
      <c r="D295" s="101"/>
      <c r="E295" s="101"/>
      <c r="F295" s="101"/>
      <c r="G295" s="101"/>
      <c r="H295" s="101"/>
      <c r="I295" s="101"/>
      <c r="J295" s="101"/>
      <c r="S295" s="101"/>
      <c r="T295" s="241"/>
      <c r="U295" s="241"/>
      <c r="V295" s="241"/>
      <c r="W295" s="241"/>
      <c r="X295" s="241"/>
      <c r="Y295" s="241"/>
      <c r="Z295" s="241"/>
    </row>
    <row r="296" spans="3:26" ht="16.5">
      <c r="C296" s="101"/>
      <c r="D296" s="101"/>
      <c r="E296" s="101"/>
      <c r="F296" s="101"/>
      <c r="G296" s="101"/>
      <c r="H296" s="101"/>
      <c r="I296" s="101"/>
      <c r="J296" s="101"/>
      <c r="S296" s="101"/>
      <c r="T296" s="241"/>
      <c r="U296" s="241"/>
      <c r="V296" s="241"/>
      <c r="W296" s="241"/>
      <c r="X296" s="241"/>
      <c r="Y296" s="241"/>
      <c r="Z296" s="241"/>
    </row>
    <row r="297" spans="3:26" ht="16.5">
      <c r="C297" s="101"/>
      <c r="D297" s="101"/>
      <c r="E297" s="101"/>
      <c r="F297" s="101"/>
      <c r="G297" s="101"/>
      <c r="H297" s="101"/>
      <c r="I297" s="101"/>
      <c r="J297" s="101"/>
      <c r="S297" s="101"/>
      <c r="T297" s="241"/>
      <c r="U297" s="241"/>
      <c r="V297" s="241"/>
      <c r="W297" s="241"/>
      <c r="X297" s="241"/>
      <c r="Y297" s="241"/>
      <c r="Z297" s="241"/>
    </row>
    <row r="298" spans="3:26" ht="16.5">
      <c r="C298" s="101"/>
      <c r="D298" s="101"/>
      <c r="E298" s="101"/>
      <c r="F298" s="101"/>
      <c r="G298" s="101"/>
      <c r="H298" s="101"/>
      <c r="I298" s="101"/>
      <c r="J298" s="101"/>
      <c r="S298" s="101"/>
      <c r="T298" s="241"/>
      <c r="U298" s="241"/>
      <c r="V298" s="241"/>
      <c r="W298" s="241"/>
      <c r="X298" s="241"/>
      <c r="Y298" s="241"/>
      <c r="Z298" s="241"/>
    </row>
    <row r="299" spans="3:26" ht="16.5">
      <c r="C299" s="101"/>
      <c r="D299" s="101"/>
      <c r="E299" s="101"/>
      <c r="F299" s="101"/>
      <c r="G299" s="101"/>
      <c r="H299" s="101"/>
      <c r="I299" s="101"/>
      <c r="J299" s="101"/>
      <c r="S299" s="101"/>
      <c r="T299" s="241"/>
      <c r="U299" s="241"/>
      <c r="V299" s="241"/>
      <c r="W299" s="241"/>
      <c r="X299" s="241"/>
      <c r="Y299" s="241"/>
      <c r="Z299" s="241"/>
    </row>
    <row r="300" spans="3:26" ht="16.5">
      <c r="C300" s="101"/>
      <c r="D300" s="101"/>
      <c r="E300" s="101"/>
      <c r="F300" s="101"/>
      <c r="G300" s="101"/>
      <c r="H300" s="101"/>
      <c r="I300" s="101"/>
      <c r="J300" s="101"/>
      <c r="S300" s="101"/>
      <c r="T300" s="241"/>
      <c r="U300" s="241"/>
      <c r="V300" s="241"/>
      <c r="W300" s="241"/>
      <c r="X300" s="241"/>
      <c r="Y300" s="241"/>
      <c r="Z300" s="241"/>
    </row>
    <row r="301" spans="3:26" ht="16.5">
      <c r="C301" s="101"/>
      <c r="D301" s="101"/>
      <c r="E301" s="101"/>
      <c r="F301" s="101"/>
      <c r="G301" s="101"/>
      <c r="H301" s="101"/>
      <c r="I301" s="101"/>
      <c r="J301" s="101"/>
      <c r="S301" s="101"/>
      <c r="T301" s="241"/>
      <c r="U301" s="241"/>
      <c r="V301" s="241"/>
      <c r="W301" s="241"/>
      <c r="X301" s="241"/>
      <c r="Y301" s="241"/>
      <c r="Z301" s="241"/>
    </row>
    <row r="302" spans="3:26" ht="16.5">
      <c r="C302" s="101"/>
      <c r="D302" s="101"/>
      <c r="E302" s="101"/>
      <c r="F302" s="101"/>
      <c r="G302" s="101"/>
      <c r="H302" s="101"/>
      <c r="I302" s="101"/>
      <c r="J302" s="101"/>
      <c r="S302" s="101"/>
      <c r="T302" s="241"/>
      <c r="U302" s="241"/>
      <c r="V302" s="241"/>
      <c r="W302" s="241"/>
      <c r="X302" s="241"/>
      <c r="Y302" s="241"/>
      <c r="Z302" s="241"/>
    </row>
    <row r="303" spans="3:26" ht="16.5">
      <c r="C303" s="101"/>
      <c r="D303" s="101"/>
      <c r="E303" s="101"/>
      <c r="F303" s="101"/>
      <c r="G303" s="101"/>
      <c r="H303" s="101"/>
      <c r="I303" s="101"/>
      <c r="J303" s="101"/>
      <c r="S303" s="101"/>
      <c r="T303" s="241"/>
      <c r="U303" s="241"/>
      <c r="V303" s="241"/>
      <c r="W303" s="241"/>
      <c r="X303" s="241"/>
      <c r="Y303" s="241"/>
      <c r="Z303" s="241"/>
    </row>
    <row r="304" spans="3:26" ht="16.5">
      <c r="C304" s="101"/>
      <c r="D304" s="101"/>
      <c r="E304" s="101"/>
      <c r="F304" s="101"/>
      <c r="G304" s="101"/>
      <c r="H304" s="101"/>
      <c r="I304" s="101"/>
      <c r="J304" s="101"/>
      <c r="S304" s="101"/>
      <c r="T304" s="241"/>
      <c r="U304" s="241"/>
      <c r="V304" s="241"/>
      <c r="W304" s="241"/>
      <c r="X304" s="241"/>
      <c r="Y304" s="241"/>
      <c r="Z304" s="241"/>
    </row>
    <row r="305" spans="3:26" ht="16.5">
      <c r="C305" s="101"/>
      <c r="D305" s="101"/>
      <c r="E305" s="101"/>
      <c r="F305" s="101"/>
      <c r="G305" s="101"/>
      <c r="H305" s="101"/>
      <c r="I305" s="101"/>
      <c r="J305" s="101"/>
      <c r="S305" s="101"/>
      <c r="T305" s="241"/>
      <c r="U305" s="241"/>
      <c r="V305" s="241"/>
      <c r="W305" s="241"/>
      <c r="X305" s="241"/>
      <c r="Y305" s="241"/>
      <c r="Z305" s="241"/>
    </row>
    <row r="306" spans="3:26" ht="16.5">
      <c r="C306" s="101"/>
      <c r="D306" s="101"/>
      <c r="E306" s="101"/>
      <c r="F306" s="101"/>
      <c r="G306" s="101"/>
      <c r="H306" s="101"/>
      <c r="I306" s="101"/>
      <c r="J306" s="101"/>
      <c r="S306" s="101"/>
      <c r="T306" s="241"/>
      <c r="U306" s="241"/>
      <c r="V306" s="241"/>
      <c r="W306" s="241"/>
      <c r="X306" s="241"/>
      <c r="Y306" s="241"/>
      <c r="Z306" s="241"/>
    </row>
    <row r="307" spans="3:26" ht="16.5">
      <c r="C307" s="101"/>
      <c r="D307" s="101"/>
      <c r="E307" s="101"/>
      <c r="F307" s="101"/>
      <c r="G307" s="101"/>
      <c r="H307" s="101"/>
      <c r="I307" s="101"/>
      <c r="J307" s="101"/>
      <c r="S307" s="101"/>
      <c r="T307" s="241"/>
      <c r="U307" s="241"/>
      <c r="V307" s="241"/>
      <c r="W307" s="241"/>
      <c r="X307" s="241"/>
      <c r="Y307" s="241"/>
      <c r="Z307" s="241"/>
    </row>
    <row r="308" spans="3:26" ht="16.5">
      <c r="C308" s="101"/>
      <c r="D308" s="101"/>
      <c r="E308" s="101"/>
      <c r="F308" s="101"/>
      <c r="G308" s="101"/>
      <c r="H308" s="101"/>
      <c r="I308" s="101"/>
      <c r="J308" s="101"/>
      <c r="S308" s="101"/>
      <c r="T308" s="241"/>
      <c r="U308" s="241"/>
      <c r="V308" s="241"/>
      <c r="W308" s="241"/>
      <c r="X308" s="241"/>
      <c r="Y308" s="241"/>
      <c r="Z308" s="241"/>
    </row>
    <row r="309" spans="3:26" ht="16.5">
      <c r="C309" s="101"/>
      <c r="D309" s="101"/>
      <c r="E309" s="101"/>
      <c r="F309" s="101"/>
      <c r="G309" s="101"/>
      <c r="H309" s="101"/>
      <c r="I309" s="101"/>
      <c r="J309" s="101"/>
      <c r="S309" s="101"/>
      <c r="T309" s="241"/>
      <c r="U309" s="241"/>
      <c r="V309" s="241"/>
      <c r="W309" s="241"/>
      <c r="X309" s="241"/>
      <c r="Y309" s="241"/>
      <c r="Z309" s="241"/>
    </row>
    <row r="310" spans="3:26" ht="16.5">
      <c r="C310" s="101"/>
      <c r="D310" s="101"/>
      <c r="E310" s="101"/>
      <c r="F310" s="101"/>
      <c r="G310" s="101"/>
      <c r="H310" s="101"/>
      <c r="I310" s="101"/>
      <c r="J310" s="101"/>
      <c r="S310" s="101"/>
      <c r="T310" s="241"/>
      <c r="U310" s="241"/>
      <c r="V310" s="241"/>
      <c r="W310" s="241"/>
      <c r="X310" s="241"/>
      <c r="Y310" s="241"/>
      <c r="Z310" s="241"/>
    </row>
    <row r="311" spans="3:26" ht="16.5">
      <c r="C311" s="101"/>
      <c r="D311" s="101"/>
      <c r="E311" s="101"/>
      <c r="F311" s="101"/>
      <c r="G311" s="101"/>
      <c r="H311" s="101"/>
      <c r="I311" s="101"/>
      <c r="J311" s="101"/>
      <c r="S311" s="101"/>
      <c r="T311" s="241"/>
      <c r="U311" s="241"/>
      <c r="V311" s="241"/>
      <c r="W311" s="241"/>
      <c r="X311" s="241"/>
      <c r="Y311" s="241"/>
      <c r="Z311" s="241"/>
    </row>
    <row r="312" spans="3:26" ht="16.5">
      <c r="C312" s="101"/>
      <c r="D312" s="101"/>
      <c r="E312" s="101"/>
      <c r="F312" s="101"/>
      <c r="G312" s="101"/>
      <c r="H312" s="101"/>
      <c r="I312" s="101"/>
      <c r="J312" s="101"/>
      <c r="S312" s="101"/>
      <c r="T312" s="241"/>
      <c r="U312" s="241"/>
      <c r="V312" s="241"/>
      <c r="W312" s="241"/>
      <c r="X312" s="241"/>
      <c r="Y312" s="241"/>
      <c r="Z312" s="241"/>
    </row>
    <row r="313" spans="3:26" ht="16.5">
      <c r="C313" s="101"/>
      <c r="D313" s="101"/>
      <c r="E313" s="101"/>
      <c r="F313" s="101"/>
      <c r="G313" s="101"/>
      <c r="H313" s="101"/>
      <c r="I313" s="101"/>
      <c r="J313" s="101"/>
      <c r="S313" s="101"/>
      <c r="T313" s="241"/>
      <c r="U313" s="241"/>
      <c r="V313" s="241"/>
      <c r="W313" s="241"/>
      <c r="X313" s="241"/>
      <c r="Y313" s="241"/>
      <c r="Z313" s="241"/>
    </row>
    <row r="314" spans="3:26" ht="16.5">
      <c r="C314" s="101"/>
      <c r="D314" s="101"/>
      <c r="E314" s="101"/>
      <c r="F314" s="101"/>
      <c r="G314" s="101"/>
      <c r="H314" s="101"/>
      <c r="I314" s="101"/>
      <c r="J314" s="101"/>
      <c r="S314" s="101"/>
      <c r="T314" s="241"/>
      <c r="U314" s="241"/>
      <c r="V314" s="241"/>
      <c r="W314" s="241"/>
      <c r="X314" s="241"/>
      <c r="Y314" s="241"/>
      <c r="Z314" s="241"/>
    </row>
    <row r="315" spans="3:26" ht="16.5">
      <c r="C315" s="101"/>
      <c r="D315" s="101"/>
      <c r="E315" s="101"/>
      <c r="F315" s="101"/>
      <c r="G315" s="101"/>
      <c r="H315" s="101"/>
      <c r="I315" s="101"/>
      <c r="J315" s="101"/>
      <c r="S315" s="101"/>
      <c r="T315" s="241"/>
      <c r="U315" s="241"/>
      <c r="V315" s="241"/>
      <c r="W315" s="241"/>
      <c r="X315" s="241"/>
      <c r="Y315" s="241"/>
      <c r="Z315" s="241"/>
    </row>
    <row r="316" spans="3:26" ht="16.5">
      <c r="C316" s="101"/>
      <c r="D316" s="101"/>
      <c r="E316" s="101"/>
      <c r="F316" s="101"/>
      <c r="G316" s="101"/>
      <c r="H316" s="101"/>
      <c r="I316" s="101"/>
      <c r="J316" s="101"/>
      <c r="S316" s="101"/>
      <c r="T316" s="241"/>
      <c r="U316" s="241"/>
      <c r="V316" s="241"/>
      <c r="W316" s="241"/>
      <c r="X316" s="241"/>
      <c r="Y316" s="241"/>
      <c r="Z316" s="241"/>
    </row>
    <row r="317" spans="3:26" ht="16.5">
      <c r="C317" s="101"/>
      <c r="D317" s="101"/>
      <c r="E317" s="101"/>
      <c r="F317" s="101"/>
      <c r="G317" s="101"/>
      <c r="H317" s="101"/>
      <c r="I317" s="101"/>
      <c r="J317" s="101"/>
      <c r="S317" s="101"/>
      <c r="T317" s="241"/>
      <c r="U317" s="241"/>
      <c r="V317" s="241"/>
      <c r="W317" s="241"/>
      <c r="X317" s="241"/>
      <c r="Y317" s="241"/>
      <c r="Z317" s="241"/>
    </row>
    <row r="318" spans="3:26" ht="16.5">
      <c r="C318" s="101"/>
      <c r="D318" s="101"/>
      <c r="E318" s="101"/>
      <c r="F318" s="101"/>
      <c r="G318" s="101"/>
      <c r="H318" s="101"/>
      <c r="I318" s="101"/>
      <c r="J318" s="101"/>
      <c r="S318" s="101"/>
      <c r="T318" s="241"/>
      <c r="U318" s="241"/>
      <c r="V318" s="241"/>
      <c r="W318" s="241"/>
      <c r="X318" s="241"/>
      <c r="Y318" s="241"/>
      <c r="Z318" s="241"/>
    </row>
    <row r="319" spans="3:26" ht="16.5">
      <c r="C319" s="101"/>
      <c r="D319" s="101"/>
      <c r="E319" s="101"/>
      <c r="F319" s="101"/>
      <c r="G319" s="101"/>
      <c r="H319" s="101"/>
      <c r="I319" s="101"/>
      <c r="J319" s="101"/>
      <c r="S319" s="101"/>
      <c r="T319" s="241"/>
      <c r="U319" s="241"/>
      <c r="V319" s="241"/>
      <c r="W319" s="241"/>
      <c r="X319" s="241"/>
      <c r="Y319" s="241"/>
      <c r="Z319" s="241"/>
    </row>
    <row r="320" spans="3:26" ht="16.5">
      <c r="C320" s="101"/>
      <c r="D320" s="101"/>
      <c r="E320" s="101"/>
      <c r="F320" s="101"/>
      <c r="G320" s="101"/>
      <c r="H320" s="101"/>
      <c r="I320" s="101"/>
      <c r="J320" s="101"/>
      <c r="S320" s="101"/>
      <c r="T320" s="241"/>
      <c r="U320" s="241"/>
      <c r="V320" s="241"/>
      <c r="W320" s="241"/>
      <c r="X320" s="241"/>
      <c r="Y320" s="241"/>
      <c r="Z320" s="241"/>
    </row>
    <row r="321" spans="3:26" ht="16.5">
      <c r="C321" s="101"/>
      <c r="D321" s="101"/>
      <c r="E321" s="101"/>
      <c r="F321" s="101"/>
      <c r="G321" s="101"/>
      <c r="H321" s="101"/>
      <c r="I321" s="101"/>
      <c r="J321" s="101"/>
      <c r="S321" s="101"/>
      <c r="T321" s="241"/>
      <c r="U321" s="241"/>
      <c r="V321" s="241"/>
      <c r="W321" s="241"/>
      <c r="X321" s="241"/>
      <c r="Y321" s="241"/>
      <c r="Z321" s="241"/>
    </row>
    <row r="322" spans="3:26" ht="16.5">
      <c r="C322" s="101"/>
      <c r="D322" s="101"/>
      <c r="E322" s="101"/>
      <c r="F322" s="101"/>
      <c r="G322" s="101"/>
      <c r="H322" s="101"/>
      <c r="I322" s="101"/>
      <c r="J322" s="101"/>
      <c r="S322" s="101"/>
      <c r="T322" s="241"/>
      <c r="U322" s="241"/>
      <c r="V322" s="241"/>
      <c r="W322" s="241"/>
      <c r="X322" s="241"/>
      <c r="Y322" s="241"/>
      <c r="Z322" s="241"/>
    </row>
    <row r="323" spans="3:26" ht="16.5">
      <c r="C323" s="101"/>
      <c r="D323" s="101"/>
      <c r="E323" s="101"/>
      <c r="F323" s="101"/>
      <c r="G323" s="101"/>
      <c r="H323" s="101"/>
      <c r="I323" s="101"/>
      <c r="J323" s="101"/>
      <c r="S323" s="101"/>
      <c r="T323" s="241"/>
      <c r="U323" s="241"/>
      <c r="V323" s="241"/>
      <c r="W323" s="241"/>
      <c r="X323" s="241"/>
      <c r="Y323" s="241"/>
      <c r="Z323" s="241"/>
    </row>
    <row r="324" spans="3:26" ht="16.5">
      <c r="C324" s="101"/>
      <c r="D324" s="101"/>
      <c r="E324" s="101"/>
      <c r="F324" s="101"/>
      <c r="G324" s="101"/>
      <c r="H324" s="101"/>
      <c r="I324" s="101"/>
      <c r="J324" s="101"/>
      <c r="S324" s="101"/>
      <c r="T324" s="241"/>
      <c r="U324" s="241"/>
      <c r="V324" s="241"/>
      <c r="W324" s="241"/>
      <c r="X324" s="241"/>
      <c r="Y324" s="241"/>
      <c r="Z324" s="241"/>
    </row>
    <row r="325" spans="3:26" ht="16.5">
      <c r="C325" s="101"/>
      <c r="D325" s="101"/>
      <c r="E325" s="101"/>
      <c r="F325" s="101"/>
      <c r="G325" s="101"/>
      <c r="H325" s="101"/>
      <c r="I325" s="101"/>
      <c r="J325" s="101"/>
      <c r="S325" s="101"/>
      <c r="T325" s="241"/>
      <c r="U325" s="241"/>
      <c r="V325" s="241"/>
      <c r="W325" s="241"/>
      <c r="X325" s="241"/>
      <c r="Y325" s="241"/>
      <c r="Z325" s="241"/>
    </row>
    <row r="326" spans="3:26" ht="16.5">
      <c r="C326" s="101"/>
      <c r="D326" s="101"/>
      <c r="E326" s="101"/>
      <c r="F326" s="101"/>
      <c r="G326" s="101"/>
      <c r="H326" s="101"/>
      <c r="I326" s="101"/>
      <c r="J326" s="101"/>
      <c r="S326" s="101"/>
      <c r="T326" s="241"/>
      <c r="U326" s="241"/>
      <c r="V326" s="241"/>
      <c r="W326" s="241"/>
      <c r="X326" s="241"/>
      <c r="Y326" s="241"/>
      <c r="Z326" s="241"/>
    </row>
    <row r="327" spans="3:26" ht="16.5">
      <c r="C327" s="101"/>
      <c r="D327" s="101"/>
      <c r="E327" s="101"/>
      <c r="F327" s="101"/>
      <c r="G327" s="101"/>
      <c r="H327" s="101"/>
      <c r="I327" s="101"/>
      <c r="J327" s="101"/>
      <c r="S327" s="101"/>
      <c r="T327" s="241"/>
      <c r="U327" s="241"/>
      <c r="V327" s="241"/>
      <c r="W327" s="241"/>
      <c r="X327" s="241"/>
      <c r="Y327" s="241"/>
      <c r="Z327" s="241"/>
    </row>
    <row r="328" spans="3:26" ht="16.5">
      <c r="C328" s="101"/>
      <c r="D328" s="101"/>
      <c r="E328" s="101"/>
      <c r="F328" s="101"/>
      <c r="G328" s="101"/>
      <c r="H328" s="101"/>
      <c r="I328" s="101"/>
      <c r="J328" s="101"/>
      <c r="S328" s="101"/>
      <c r="T328" s="241"/>
      <c r="U328" s="241"/>
      <c r="V328" s="241"/>
      <c r="W328" s="241"/>
      <c r="X328" s="241"/>
      <c r="Y328" s="241"/>
      <c r="Z328" s="241"/>
    </row>
    <row r="329" spans="3:26" ht="16.5">
      <c r="C329" s="101"/>
      <c r="D329" s="101"/>
      <c r="E329" s="101"/>
      <c r="F329" s="101"/>
      <c r="G329" s="101"/>
      <c r="H329" s="101"/>
      <c r="I329" s="101"/>
      <c r="J329" s="101"/>
      <c r="S329" s="101"/>
      <c r="T329" s="241"/>
      <c r="U329" s="241"/>
      <c r="V329" s="241"/>
      <c r="W329" s="241"/>
      <c r="X329" s="241"/>
      <c r="Y329" s="241"/>
      <c r="Z329" s="241"/>
    </row>
    <row r="330" spans="3:26" ht="16.5">
      <c r="C330" s="101"/>
      <c r="D330" s="101"/>
      <c r="E330" s="101"/>
      <c r="F330" s="101"/>
      <c r="G330" s="101"/>
      <c r="H330" s="101"/>
      <c r="I330" s="101"/>
      <c r="J330" s="101"/>
      <c r="S330" s="101"/>
      <c r="T330" s="241"/>
      <c r="U330" s="241"/>
      <c r="V330" s="241"/>
      <c r="W330" s="241"/>
      <c r="X330" s="241"/>
      <c r="Y330" s="241"/>
      <c r="Z330" s="241"/>
    </row>
    <row r="331" spans="3:26" ht="16.5">
      <c r="C331" s="101"/>
      <c r="D331" s="101"/>
      <c r="E331" s="101"/>
      <c r="F331" s="101"/>
      <c r="G331" s="101"/>
      <c r="H331" s="101"/>
      <c r="I331" s="101"/>
      <c r="J331" s="101"/>
      <c r="S331" s="101"/>
      <c r="T331" s="241"/>
      <c r="U331" s="241"/>
      <c r="V331" s="241"/>
      <c r="W331" s="241"/>
      <c r="X331" s="241"/>
      <c r="Y331" s="241"/>
      <c r="Z331" s="241"/>
    </row>
    <row r="332" spans="3:26" ht="16.5">
      <c r="C332" s="101"/>
      <c r="D332" s="101"/>
      <c r="E332" s="101"/>
      <c r="F332" s="101"/>
      <c r="G332" s="101"/>
      <c r="H332" s="101"/>
      <c r="I332" s="101"/>
      <c r="J332" s="101"/>
      <c r="S332" s="101"/>
      <c r="T332" s="241"/>
      <c r="U332" s="241"/>
      <c r="V332" s="241"/>
      <c r="W332" s="241"/>
      <c r="X332" s="241"/>
      <c r="Y332" s="241"/>
      <c r="Z332" s="241"/>
    </row>
    <row r="333" spans="3:26" ht="16.5">
      <c r="C333" s="101"/>
      <c r="D333" s="101"/>
      <c r="E333" s="101"/>
      <c r="F333" s="101"/>
      <c r="G333" s="101"/>
      <c r="H333" s="101"/>
      <c r="I333" s="101"/>
      <c r="J333" s="101"/>
      <c r="S333" s="101"/>
      <c r="T333" s="241"/>
      <c r="U333" s="241"/>
      <c r="V333" s="241"/>
      <c r="W333" s="241"/>
      <c r="X333" s="241"/>
      <c r="Y333" s="241"/>
      <c r="Z333" s="241"/>
    </row>
    <row r="334" spans="3:26" ht="16.5">
      <c r="C334" s="101"/>
      <c r="D334" s="101"/>
      <c r="E334" s="101"/>
      <c r="F334" s="101"/>
      <c r="G334" s="101"/>
      <c r="H334" s="101"/>
      <c r="I334" s="101"/>
      <c r="J334" s="101"/>
      <c r="S334" s="101"/>
      <c r="T334" s="241"/>
      <c r="U334" s="241"/>
      <c r="V334" s="241"/>
      <c r="W334" s="241"/>
      <c r="X334" s="241"/>
      <c r="Y334" s="241"/>
      <c r="Z334" s="241"/>
    </row>
    <row r="335" spans="3:26" ht="16.5">
      <c r="C335" s="101"/>
      <c r="D335" s="101"/>
      <c r="E335" s="101"/>
      <c r="F335" s="101"/>
      <c r="G335" s="101"/>
      <c r="H335" s="101"/>
      <c r="I335" s="101"/>
      <c r="J335" s="101"/>
      <c r="S335" s="101"/>
      <c r="T335" s="241"/>
      <c r="U335" s="241"/>
      <c r="V335" s="241"/>
      <c r="W335" s="241"/>
      <c r="X335" s="241"/>
      <c r="Y335" s="241"/>
      <c r="Z335" s="241"/>
    </row>
    <row r="336" spans="3:26" ht="16.5">
      <c r="C336" s="101"/>
      <c r="D336" s="101"/>
      <c r="E336" s="101"/>
      <c r="F336" s="101"/>
      <c r="G336" s="101"/>
      <c r="H336" s="101"/>
      <c r="I336" s="101"/>
      <c r="J336" s="101"/>
      <c r="S336" s="101"/>
      <c r="T336" s="241"/>
      <c r="U336" s="241"/>
      <c r="V336" s="241"/>
      <c r="W336" s="241"/>
      <c r="X336" s="241"/>
      <c r="Y336" s="241"/>
      <c r="Z336" s="241"/>
    </row>
    <row r="337" spans="3:26" ht="16.5">
      <c r="C337" s="101"/>
      <c r="D337" s="101"/>
      <c r="E337" s="101"/>
      <c r="F337" s="101"/>
      <c r="G337" s="101"/>
      <c r="H337" s="101"/>
      <c r="I337" s="101"/>
      <c r="J337" s="101"/>
      <c r="S337" s="101"/>
      <c r="T337" s="241"/>
      <c r="U337" s="241"/>
      <c r="V337" s="241"/>
      <c r="W337" s="241"/>
      <c r="X337" s="241"/>
      <c r="Y337" s="241"/>
      <c r="Z337" s="241"/>
    </row>
    <row r="338" spans="3:26" ht="16.5">
      <c r="C338" s="101"/>
      <c r="D338" s="101"/>
      <c r="E338" s="101"/>
      <c r="F338" s="101"/>
      <c r="G338" s="101"/>
      <c r="H338" s="101"/>
      <c r="I338" s="101"/>
      <c r="J338" s="101"/>
      <c r="S338" s="101"/>
      <c r="T338" s="241"/>
      <c r="U338" s="241"/>
      <c r="V338" s="241"/>
      <c r="W338" s="241"/>
      <c r="X338" s="241"/>
      <c r="Y338" s="241"/>
      <c r="Z338" s="241"/>
    </row>
    <row r="339" spans="3:26" ht="16.5">
      <c r="C339" s="101"/>
      <c r="D339" s="101"/>
      <c r="E339" s="101"/>
      <c r="F339" s="101"/>
      <c r="G339" s="101"/>
      <c r="H339" s="101"/>
      <c r="I339" s="101"/>
      <c r="J339" s="101"/>
      <c r="S339" s="101"/>
      <c r="T339" s="241"/>
      <c r="U339" s="241"/>
      <c r="V339" s="241"/>
      <c r="W339" s="241"/>
      <c r="X339" s="241"/>
      <c r="Y339" s="241"/>
      <c r="Z339" s="241"/>
    </row>
    <row r="340" spans="3:26" ht="16.5">
      <c r="C340" s="101"/>
      <c r="D340" s="101"/>
      <c r="E340" s="101"/>
      <c r="F340" s="101"/>
      <c r="G340" s="101"/>
      <c r="H340" s="101"/>
      <c r="I340" s="101"/>
      <c r="J340" s="101"/>
      <c r="S340" s="101"/>
      <c r="T340" s="241"/>
      <c r="U340" s="241"/>
      <c r="V340" s="241"/>
      <c r="W340" s="241"/>
      <c r="X340" s="241"/>
      <c r="Y340" s="241"/>
      <c r="Z340" s="241"/>
    </row>
    <row r="341" spans="3:26" ht="16.5">
      <c r="C341" s="101"/>
      <c r="D341" s="101"/>
      <c r="E341" s="101"/>
      <c r="F341" s="101"/>
      <c r="G341" s="101"/>
      <c r="H341" s="101"/>
      <c r="I341" s="101"/>
      <c r="J341" s="101"/>
      <c r="S341" s="101"/>
      <c r="T341" s="241"/>
      <c r="U341" s="241"/>
      <c r="V341" s="241"/>
      <c r="W341" s="241"/>
      <c r="X341" s="241"/>
      <c r="Y341" s="241"/>
      <c r="Z341" s="241"/>
    </row>
    <row r="342" spans="3:26" ht="16.5">
      <c r="C342" s="101"/>
      <c r="D342" s="101"/>
      <c r="E342" s="101"/>
      <c r="F342" s="101"/>
      <c r="G342" s="101"/>
      <c r="H342" s="101"/>
      <c r="I342" s="101"/>
      <c r="J342" s="101"/>
      <c r="S342" s="101"/>
      <c r="T342" s="241"/>
      <c r="U342" s="241"/>
      <c r="V342" s="241"/>
      <c r="W342" s="241"/>
      <c r="X342" s="241"/>
      <c r="Y342" s="241"/>
      <c r="Z342" s="241"/>
    </row>
    <row r="343" spans="3:26" ht="16.5">
      <c r="C343" s="101"/>
      <c r="D343" s="101"/>
      <c r="E343" s="101"/>
      <c r="F343" s="101"/>
      <c r="G343" s="101"/>
      <c r="H343" s="101"/>
      <c r="I343" s="101"/>
      <c r="J343" s="101"/>
      <c r="S343" s="101"/>
      <c r="T343" s="241"/>
      <c r="U343" s="241"/>
      <c r="V343" s="241"/>
      <c r="W343" s="241"/>
      <c r="X343" s="241"/>
      <c r="Y343" s="241"/>
      <c r="Z343" s="241"/>
    </row>
    <row r="344" spans="3:26" ht="16.5">
      <c r="C344" s="101"/>
      <c r="D344" s="101"/>
      <c r="E344" s="101"/>
      <c r="F344" s="101"/>
      <c r="G344" s="101"/>
      <c r="H344" s="101"/>
      <c r="I344" s="101"/>
      <c r="J344" s="101"/>
      <c r="S344" s="101"/>
      <c r="T344" s="241"/>
      <c r="U344" s="241"/>
      <c r="V344" s="241"/>
      <c r="W344" s="241"/>
      <c r="X344" s="241"/>
      <c r="Y344" s="241"/>
      <c r="Z344" s="241"/>
    </row>
    <row r="345" spans="3:26" ht="16.5">
      <c r="C345" s="101"/>
      <c r="D345" s="101"/>
      <c r="E345" s="101"/>
      <c r="F345" s="101"/>
      <c r="G345" s="101"/>
      <c r="H345" s="101"/>
      <c r="I345" s="101"/>
      <c r="J345" s="101"/>
      <c r="S345" s="101"/>
      <c r="T345" s="241"/>
      <c r="U345" s="241"/>
      <c r="V345" s="241"/>
      <c r="W345" s="241"/>
      <c r="X345" s="241"/>
      <c r="Y345" s="241"/>
      <c r="Z345" s="241"/>
    </row>
    <row r="346" spans="3:26" ht="16.5">
      <c r="C346" s="101"/>
      <c r="D346" s="101"/>
      <c r="E346" s="101"/>
      <c r="F346" s="101"/>
      <c r="G346" s="101"/>
      <c r="H346" s="101"/>
      <c r="I346" s="101"/>
      <c r="J346" s="101"/>
      <c r="S346" s="101"/>
      <c r="T346" s="241"/>
      <c r="U346" s="241"/>
      <c r="V346" s="241"/>
      <c r="W346" s="241"/>
      <c r="X346" s="241"/>
      <c r="Y346" s="241"/>
      <c r="Z346" s="241"/>
    </row>
    <row r="347" spans="3:26" ht="16.5">
      <c r="C347" s="101"/>
      <c r="D347" s="101"/>
      <c r="E347" s="101"/>
      <c r="F347" s="101"/>
      <c r="G347" s="101"/>
      <c r="H347" s="101"/>
      <c r="I347" s="101"/>
      <c r="J347" s="101"/>
      <c r="S347" s="101"/>
      <c r="T347" s="241"/>
      <c r="U347" s="241"/>
      <c r="V347" s="241"/>
      <c r="W347" s="241"/>
      <c r="X347" s="241"/>
      <c r="Y347" s="241"/>
      <c r="Z347" s="241"/>
    </row>
    <row r="348" spans="3:26" ht="16.5">
      <c r="C348" s="101"/>
      <c r="D348" s="101"/>
      <c r="E348" s="101"/>
      <c r="F348" s="101"/>
      <c r="G348" s="101"/>
      <c r="H348" s="101"/>
      <c r="I348" s="101"/>
      <c r="J348" s="101"/>
      <c r="S348" s="101"/>
      <c r="T348" s="241"/>
      <c r="U348" s="241"/>
      <c r="V348" s="241"/>
      <c r="W348" s="241"/>
      <c r="X348" s="241"/>
      <c r="Y348" s="241"/>
      <c r="Z348" s="241"/>
    </row>
    <row r="349" spans="3:26" ht="16.5">
      <c r="C349" s="101"/>
      <c r="D349" s="101"/>
      <c r="E349" s="101"/>
      <c r="F349" s="101"/>
      <c r="G349" s="101"/>
      <c r="H349" s="101"/>
      <c r="I349" s="101"/>
      <c r="J349" s="101"/>
      <c r="S349" s="101"/>
      <c r="T349" s="241"/>
      <c r="U349" s="241"/>
      <c r="V349" s="241"/>
      <c r="W349" s="241"/>
      <c r="X349" s="241"/>
      <c r="Y349" s="241"/>
      <c r="Z349" s="241"/>
    </row>
    <row r="350" spans="3:26" ht="16.5">
      <c r="C350" s="101"/>
      <c r="D350" s="101"/>
      <c r="E350" s="101"/>
      <c r="F350" s="101"/>
      <c r="G350" s="101"/>
      <c r="H350" s="101"/>
      <c r="I350" s="101"/>
      <c r="J350" s="101"/>
      <c r="S350" s="101"/>
      <c r="T350" s="241"/>
      <c r="U350" s="241"/>
      <c r="V350" s="241"/>
      <c r="W350" s="241"/>
      <c r="X350" s="241"/>
      <c r="Y350" s="241"/>
      <c r="Z350" s="241"/>
    </row>
    <row r="351" spans="3:26" ht="16.5">
      <c r="C351" s="101"/>
      <c r="D351" s="101"/>
      <c r="E351" s="101"/>
      <c r="F351" s="101"/>
      <c r="G351" s="101"/>
      <c r="H351" s="101"/>
      <c r="I351" s="101"/>
      <c r="J351" s="101"/>
      <c r="S351" s="101"/>
      <c r="T351" s="241"/>
      <c r="U351" s="241"/>
      <c r="V351" s="241"/>
      <c r="W351" s="241"/>
      <c r="X351" s="241"/>
      <c r="Y351" s="241"/>
      <c r="Z351" s="241"/>
    </row>
    <row r="352" spans="3:26" ht="16.5">
      <c r="C352" s="101"/>
      <c r="D352" s="101"/>
      <c r="E352" s="101"/>
      <c r="F352" s="101"/>
      <c r="G352" s="101"/>
      <c r="H352" s="101"/>
      <c r="I352" s="101"/>
      <c r="J352" s="101"/>
      <c r="S352" s="101"/>
      <c r="T352" s="241"/>
      <c r="U352" s="241"/>
      <c r="V352" s="241"/>
      <c r="W352" s="241"/>
      <c r="X352" s="241"/>
      <c r="Y352" s="241"/>
      <c r="Z352" s="241"/>
    </row>
    <row r="353" spans="3:26" ht="16.5">
      <c r="C353" s="101"/>
      <c r="D353" s="101"/>
      <c r="E353" s="101"/>
      <c r="F353" s="101"/>
      <c r="G353" s="101"/>
      <c r="H353" s="101"/>
      <c r="I353" s="101"/>
      <c r="J353" s="101"/>
      <c r="S353" s="101"/>
      <c r="T353" s="241"/>
      <c r="U353" s="241"/>
      <c r="V353" s="241"/>
      <c r="W353" s="241"/>
      <c r="X353" s="241"/>
      <c r="Y353" s="241"/>
      <c r="Z353" s="241"/>
    </row>
    <row r="354" spans="3:26" ht="16.5">
      <c r="C354" s="101"/>
      <c r="D354" s="101"/>
      <c r="E354" s="101"/>
      <c r="F354" s="101"/>
      <c r="G354" s="101"/>
      <c r="H354" s="101"/>
      <c r="I354" s="101"/>
      <c r="J354" s="101"/>
      <c r="S354" s="101"/>
      <c r="T354" s="241"/>
      <c r="U354" s="241"/>
      <c r="V354" s="241"/>
      <c r="W354" s="241"/>
      <c r="X354" s="241"/>
      <c r="Y354" s="241"/>
      <c r="Z354" s="241"/>
    </row>
    <row r="355" spans="3:26" ht="16.5">
      <c r="C355" s="101"/>
      <c r="D355" s="101"/>
      <c r="E355" s="101"/>
      <c r="F355" s="101"/>
      <c r="G355" s="101"/>
      <c r="H355" s="101"/>
      <c r="I355" s="101"/>
      <c r="J355" s="101"/>
      <c r="S355" s="101"/>
      <c r="T355" s="241"/>
      <c r="U355" s="241"/>
      <c r="V355" s="241"/>
      <c r="W355" s="241"/>
      <c r="X355" s="241"/>
      <c r="Y355" s="241"/>
      <c r="Z355" s="241"/>
    </row>
    <row r="356" spans="3:26" ht="16.5">
      <c r="C356" s="101"/>
      <c r="D356" s="101"/>
      <c r="E356" s="101"/>
      <c r="F356" s="101"/>
      <c r="G356" s="101"/>
      <c r="H356" s="101"/>
      <c r="I356" s="101"/>
      <c r="J356" s="101"/>
      <c r="S356" s="101"/>
      <c r="T356" s="241"/>
      <c r="U356" s="241"/>
      <c r="V356" s="241"/>
      <c r="W356" s="241"/>
      <c r="X356" s="241"/>
      <c r="Y356" s="241"/>
      <c r="Z356" s="241"/>
    </row>
    <row r="357" spans="3:26" ht="16.5">
      <c r="C357" s="101"/>
      <c r="D357" s="101"/>
      <c r="E357" s="101"/>
      <c r="F357" s="101"/>
      <c r="G357" s="101"/>
      <c r="H357" s="101"/>
      <c r="I357" s="101"/>
      <c r="J357" s="101"/>
      <c r="S357" s="101"/>
      <c r="T357" s="241"/>
      <c r="U357" s="241"/>
      <c r="V357" s="241"/>
      <c r="W357" s="241"/>
      <c r="X357" s="241"/>
      <c r="Y357" s="241"/>
      <c r="Z357" s="241"/>
    </row>
    <row r="358" spans="3:26" ht="16.5">
      <c r="C358" s="101"/>
      <c r="D358" s="101"/>
      <c r="E358" s="101"/>
      <c r="F358" s="101"/>
      <c r="G358" s="101"/>
      <c r="H358" s="101"/>
      <c r="I358" s="101"/>
      <c r="J358" s="101"/>
      <c r="S358" s="101"/>
      <c r="T358" s="241"/>
      <c r="U358" s="241"/>
      <c r="V358" s="241"/>
      <c r="W358" s="241"/>
      <c r="X358" s="241"/>
      <c r="Y358" s="241"/>
      <c r="Z358" s="241"/>
    </row>
    <row r="359" spans="3:26" ht="16.5">
      <c r="C359" s="101"/>
      <c r="D359" s="101"/>
      <c r="E359" s="101"/>
      <c r="F359" s="101"/>
      <c r="G359" s="101"/>
      <c r="H359" s="101"/>
      <c r="I359" s="101"/>
      <c r="J359" s="101"/>
      <c r="S359" s="101"/>
      <c r="T359" s="241"/>
      <c r="U359" s="241"/>
      <c r="V359" s="241"/>
      <c r="W359" s="241"/>
      <c r="X359" s="241"/>
      <c r="Y359" s="241"/>
      <c r="Z359" s="241"/>
    </row>
    <row r="360" spans="3:26" ht="16.5">
      <c r="C360" s="101"/>
      <c r="D360" s="101"/>
      <c r="E360" s="101"/>
      <c r="F360" s="101"/>
      <c r="G360" s="101"/>
      <c r="H360" s="101"/>
      <c r="I360" s="101"/>
      <c r="J360" s="101"/>
      <c r="S360" s="101"/>
      <c r="T360" s="241"/>
      <c r="U360" s="241"/>
      <c r="V360" s="241"/>
      <c r="W360" s="241"/>
      <c r="X360" s="241"/>
      <c r="Y360" s="241"/>
      <c r="Z360" s="241"/>
    </row>
    <row r="361" spans="3:26" ht="16.5">
      <c r="C361" s="101"/>
      <c r="D361" s="101"/>
      <c r="E361" s="101"/>
      <c r="F361" s="101"/>
      <c r="G361" s="101"/>
      <c r="H361" s="101"/>
      <c r="I361" s="101"/>
      <c r="J361" s="101"/>
      <c r="S361" s="101"/>
      <c r="T361" s="241"/>
      <c r="U361" s="241"/>
      <c r="V361" s="241"/>
      <c r="W361" s="241"/>
      <c r="X361" s="241"/>
      <c r="Y361" s="241"/>
      <c r="Z361" s="241"/>
    </row>
    <row r="362" spans="3:26" ht="16.5">
      <c r="C362" s="101"/>
      <c r="D362" s="101"/>
      <c r="E362" s="101"/>
      <c r="F362" s="101"/>
      <c r="G362" s="101"/>
      <c r="H362" s="101"/>
      <c r="I362" s="101"/>
      <c r="J362" s="101"/>
      <c r="S362" s="101"/>
      <c r="T362" s="241"/>
      <c r="U362" s="241"/>
      <c r="V362" s="241"/>
      <c r="W362" s="241"/>
      <c r="X362" s="241"/>
      <c r="Y362" s="241"/>
      <c r="Z362" s="241"/>
    </row>
    <row r="363" spans="3:26" ht="16.5">
      <c r="C363" s="101"/>
      <c r="D363" s="101"/>
      <c r="E363" s="101"/>
      <c r="F363" s="101"/>
      <c r="G363" s="101"/>
      <c r="H363" s="101"/>
      <c r="I363" s="101"/>
      <c r="J363" s="101"/>
      <c r="S363" s="101"/>
      <c r="T363" s="241"/>
      <c r="U363" s="241"/>
      <c r="V363" s="241"/>
      <c r="W363" s="241"/>
      <c r="X363" s="241"/>
      <c r="Y363" s="241"/>
      <c r="Z363" s="241"/>
    </row>
    <row r="364" spans="3:26" ht="16.5">
      <c r="C364" s="101"/>
      <c r="D364" s="101"/>
      <c r="E364" s="101"/>
      <c r="F364" s="101"/>
      <c r="G364" s="101"/>
      <c r="H364" s="101"/>
      <c r="I364" s="101"/>
      <c r="J364" s="101"/>
      <c r="S364" s="101"/>
      <c r="T364" s="241"/>
      <c r="U364" s="241"/>
      <c r="V364" s="241"/>
      <c r="W364" s="241"/>
      <c r="X364" s="241"/>
      <c r="Y364" s="241"/>
      <c r="Z364" s="241"/>
    </row>
    <row r="365" spans="3:26" ht="16.5">
      <c r="C365" s="101"/>
      <c r="D365" s="101"/>
      <c r="E365" s="101"/>
      <c r="F365" s="101"/>
      <c r="G365" s="101"/>
      <c r="H365" s="101"/>
      <c r="I365" s="101"/>
      <c r="J365" s="101"/>
      <c r="S365" s="101"/>
      <c r="T365" s="241"/>
      <c r="U365" s="241"/>
      <c r="V365" s="241"/>
      <c r="W365" s="241"/>
      <c r="X365" s="241"/>
      <c r="Y365" s="241"/>
      <c r="Z365" s="241"/>
    </row>
    <row r="366" spans="3:26" ht="16.5">
      <c r="C366" s="101"/>
      <c r="D366" s="101"/>
      <c r="E366" s="101"/>
      <c r="F366" s="101"/>
      <c r="G366" s="101"/>
      <c r="H366" s="101"/>
      <c r="I366" s="101"/>
      <c r="J366" s="101"/>
      <c r="S366" s="101"/>
      <c r="T366" s="241"/>
      <c r="U366" s="241"/>
      <c r="V366" s="241"/>
      <c r="W366" s="241"/>
      <c r="X366" s="241"/>
      <c r="Y366" s="241"/>
      <c r="Z366" s="241"/>
    </row>
    <row r="367" spans="3:26" ht="16.5">
      <c r="C367" s="101"/>
      <c r="D367" s="101"/>
      <c r="E367" s="101"/>
      <c r="F367" s="101"/>
      <c r="G367" s="101"/>
      <c r="H367" s="101"/>
      <c r="I367" s="101"/>
      <c r="J367" s="101"/>
      <c r="S367" s="101"/>
      <c r="T367" s="241"/>
      <c r="U367" s="241"/>
      <c r="V367" s="241"/>
      <c r="W367" s="241"/>
      <c r="X367" s="241"/>
      <c r="Y367" s="241"/>
      <c r="Z367" s="241"/>
    </row>
    <row r="368" spans="3:26" ht="16.5">
      <c r="C368" s="101"/>
      <c r="D368" s="101"/>
      <c r="E368" s="101"/>
      <c r="F368" s="101"/>
      <c r="G368" s="101"/>
      <c r="H368" s="101"/>
      <c r="I368" s="101"/>
      <c r="J368" s="101"/>
      <c r="S368" s="101"/>
      <c r="T368" s="241"/>
      <c r="U368" s="241"/>
      <c r="V368" s="241"/>
      <c r="W368" s="241"/>
      <c r="X368" s="241"/>
      <c r="Y368" s="241"/>
      <c r="Z368" s="241"/>
    </row>
    <row r="369" spans="3:26" ht="16.5">
      <c r="C369" s="101"/>
      <c r="D369" s="101"/>
      <c r="E369" s="101"/>
      <c r="F369" s="101"/>
      <c r="G369" s="101"/>
      <c r="H369" s="101"/>
      <c r="I369" s="101"/>
      <c r="J369" s="101"/>
      <c r="S369" s="101"/>
      <c r="T369" s="241"/>
      <c r="U369" s="241"/>
      <c r="V369" s="241"/>
      <c r="W369" s="241"/>
      <c r="X369" s="241"/>
      <c r="Y369" s="241"/>
      <c r="Z369" s="241"/>
    </row>
    <row r="370" spans="3:26" ht="16.5">
      <c r="C370" s="101"/>
      <c r="D370" s="101"/>
      <c r="E370" s="101"/>
      <c r="F370" s="101"/>
      <c r="G370" s="101"/>
      <c r="H370" s="101"/>
      <c r="I370" s="101"/>
      <c r="J370" s="101"/>
      <c r="S370" s="101"/>
      <c r="T370" s="241"/>
      <c r="U370" s="241"/>
      <c r="V370" s="241"/>
      <c r="W370" s="241"/>
      <c r="X370" s="241"/>
      <c r="Y370" s="241"/>
      <c r="Z370" s="241"/>
    </row>
    <row r="371" spans="3:26" ht="16.5">
      <c r="C371" s="101"/>
      <c r="D371" s="101"/>
      <c r="E371" s="101"/>
      <c r="F371" s="101"/>
      <c r="G371" s="101"/>
      <c r="H371" s="101"/>
      <c r="I371" s="101"/>
      <c r="J371" s="101"/>
      <c r="S371" s="101"/>
      <c r="T371" s="241"/>
      <c r="U371" s="241"/>
      <c r="V371" s="241"/>
      <c r="W371" s="241"/>
      <c r="X371" s="241"/>
      <c r="Y371" s="241"/>
      <c r="Z371" s="241"/>
    </row>
    <row r="372" spans="3:26" ht="16.5">
      <c r="C372" s="101"/>
      <c r="D372" s="101"/>
      <c r="E372" s="101"/>
      <c r="F372" s="101"/>
      <c r="G372" s="101"/>
      <c r="H372" s="101"/>
      <c r="I372" s="101"/>
      <c r="J372" s="101"/>
      <c r="S372" s="101"/>
      <c r="T372" s="241"/>
      <c r="U372" s="241"/>
      <c r="V372" s="241"/>
      <c r="W372" s="241"/>
      <c r="X372" s="241"/>
      <c r="Y372" s="241"/>
      <c r="Z372" s="241"/>
    </row>
    <row r="373" spans="3:26" ht="16.5">
      <c r="C373" s="101"/>
      <c r="D373" s="101"/>
      <c r="E373" s="101"/>
      <c r="F373" s="101"/>
      <c r="G373" s="101"/>
      <c r="H373" s="101"/>
      <c r="I373" s="101"/>
      <c r="J373" s="101"/>
      <c r="S373" s="101"/>
      <c r="T373" s="241"/>
      <c r="U373" s="241"/>
      <c r="V373" s="241"/>
      <c r="W373" s="241"/>
      <c r="X373" s="241"/>
      <c r="Y373" s="241"/>
      <c r="Z373" s="241"/>
    </row>
    <row r="374" spans="3:26" ht="16.5">
      <c r="C374" s="101"/>
      <c r="D374" s="101"/>
      <c r="E374" s="101"/>
      <c r="F374" s="101"/>
      <c r="G374" s="101"/>
      <c r="H374" s="101"/>
      <c r="I374" s="101"/>
      <c r="J374" s="101"/>
      <c r="S374" s="101"/>
      <c r="T374" s="241"/>
      <c r="U374" s="241"/>
      <c r="V374" s="241"/>
      <c r="W374" s="241"/>
      <c r="X374" s="241"/>
      <c r="Y374" s="241"/>
      <c r="Z374" s="241"/>
    </row>
    <row r="375" spans="3:26" ht="16.5">
      <c r="C375" s="101"/>
      <c r="D375" s="101"/>
      <c r="E375" s="101"/>
      <c r="F375" s="101"/>
      <c r="G375" s="101"/>
      <c r="H375" s="101"/>
      <c r="I375" s="101"/>
      <c r="J375" s="101"/>
      <c r="S375" s="101"/>
      <c r="T375" s="241"/>
      <c r="U375" s="241"/>
      <c r="V375" s="241"/>
      <c r="W375" s="241"/>
      <c r="X375" s="241"/>
      <c r="Y375" s="241"/>
      <c r="Z375" s="241"/>
    </row>
    <row r="376" spans="3:26" ht="16.5">
      <c r="C376" s="101"/>
      <c r="D376" s="101"/>
      <c r="E376" s="101"/>
      <c r="F376" s="101"/>
      <c r="G376" s="101"/>
      <c r="H376" s="101"/>
      <c r="I376" s="101"/>
      <c r="J376" s="101"/>
      <c r="S376" s="101"/>
      <c r="T376" s="241"/>
      <c r="U376" s="241"/>
      <c r="V376" s="241"/>
      <c r="W376" s="241"/>
      <c r="X376" s="241"/>
      <c r="Y376" s="241"/>
      <c r="Z376" s="241"/>
    </row>
    <row r="377" spans="3:26" ht="16.5">
      <c r="C377" s="101"/>
      <c r="D377" s="101"/>
      <c r="E377" s="101"/>
      <c r="F377" s="101"/>
      <c r="G377" s="101"/>
      <c r="H377" s="101"/>
      <c r="I377" s="101"/>
      <c r="J377" s="101"/>
      <c r="S377" s="101"/>
      <c r="T377" s="241"/>
      <c r="U377" s="241"/>
      <c r="V377" s="241"/>
      <c r="W377" s="241"/>
      <c r="X377" s="241"/>
      <c r="Y377" s="241"/>
      <c r="Z377" s="241"/>
    </row>
    <row r="378" spans="3:26" ht="16.5">
      <c r="C378" s="101"/>
      <c r="D378" s="101"/>
      <c r="E378" s="101"/>
      <c r="F378" s="101"/>
      <c r="G378" s="101"/>
      <c r="H378" s="101"/>
      <c r="I378" s="101"/>
      <c r="J378" s="101"/>
      <c r="S378" s="101"/>
      <c r="T378" s="241"/>
      <c r="U378" s="241"/>
      <c r="V378" s="241"/>
      <c r="W378" s="241"/>
      <c r="X378" s="241"/>
      <c r="Y378" s="241"/>
      <c r="Z378" s="241"/>
    </row>
    <row r="379" spans="3:26" ht="16.5">
      <c r="C379" s="101"/>
      <c r="D379" s="101"/>
      <c r="E379" s="101"/>
      <c r="F379" s="101"/>
      <c r="G379" s="101"/>
      <c r="H379" s="101"/>
      <c r="I379" s="101"/>
      <c r="J379" s="101"/>
      <c r="S379" s="101"/>
      <c r="T379" s="241"/>
      <c r="U379" s="241"/>
      <c r="V379" s="241"/>
      <c r="W379" s="241"/>
      <c r="X379" s="241"/>
      <c r="Y379" s="241"/>
      <c r="Z379" s="241"/>
    </row>
    <row r="380" spans="3:26" ht="16.5">
      <c r="C380" s="101"/>
      <c r="D380" s="101"/>
      <c r="E380" s="101"/>
      <c r="F380" s="101"/>
      <c r="G380" s="101"/>
      <c r="H380" s="101"/>
      <c r="I380" s="101"/>
      <c r="J380" s="101"/>
      <c r="S380" s="101"/>
      <c r="T380" s="241"/>
      <c r="U380" s="241"/>
      <c r="V380" s="241"/>
      <c r="W380" s="241"/>
      <c r="X380" s="241"/>
      <c r="Y380" s="241"/>
      <c r="Z380" s="241"/>
    </row>
    <row r="381" spans="3:26" ht="16.5">
      <c r="C381" s="101"/>
      <c r="D381" s="101"/>
      <c r="E381" s="101"/>
      <c r="F381" s="101"/>
      <c r="G381" s="101"/>
      <c r="H381" s="101"/>
      <c r="I381" s="101"/>
      <c r="J381" s="101"/>
      <c r="S381" s="101"/>
      <c r="T381" s="241"/>
      <c r="U381" s="241"/>
      <c r="V381" s="241"/>
      <c r="W381" s="241"/>
      <c r="X381" s="241"/>
      <c r="Y381" s="241"/>
      <c r="Z381" s="241"/>
    </row>
    <row r="382" spans="3:26" ht="16.5">
      <c r="C382" s="101"/>
      <c r="D382" s="101"/>
      <c r="E382" s="101"/>
      <c r="F382" s="101"/>
      <c r="G382" s="101"/>
      <c r="H382" s="101"/>
      <c r="I382" s="101"/>
      <c r="J382" s="101"/>
      <c r="S382" s="101"/>
      <c r="T382" s="241"/>
      <c r="U382" s="241"/>
      <c r="V382" s="241"/>
      <c r="W382" s="241"/>
      <c r="X382" s="241"/>
      <c r="Y382" s="241"/>
      <c r="Z382" s="241"/>
    </row>
    <row r="383" spans="3:26" ht="16.5">
      <c r="C383" s="101"/>
      <c r="D383" s="101"/>
      <c r="E383" s="101"/>
      <c r="F383" s="101"/>
      <c r="G383" s="101"/>
      <c r="H383" s="101"/>
      <c r="I383" s="101"/>
      <c r="J383" s="101"/>
      <c r="S383" s="101"/>
      <c r="T383" s="241"/>
      <c r="U383" s="241"/>
      <c r="V383" s="241"/>
      <c r="W383" s="241"/>
      <c r="X383" s="241"/>
      <c r="Y383" s="241"/>
      <c r="Z383" s="241"/>
    </row>
    <row r="384" spans="3:26" ht="16.5">
      <c r="C384" s="101"/>
      <c r="D384" s="101"/>
      <c r="E384" s="101"/>
      <c r="F384" s="101"/>
      <c r="G384" s="101"/>
      <c r="H384" s="101"/>
      <c r="I384" s="101"/>
      <c r="J384" s="101"/>
      <c r="S384" s="101"/>
      <c r="T384" s="241"/>
      <c r="U384" s="241"/>
      <c r="V384" s="241"/>
      <c r="W384" s="241"/>
      <c r="X384" s="241"/>
      <c r="Y384" s="241"/>
      <c r="Z384" s="241"/>
    </row>
    <row r="385" spans="3:26" ht="16.5">
      <c r="C385" s="101"/>
      <c r="D385" s="101"/>
      <c r="E385" s="101"/>
      <c r="F385" s="101"/>
      <c r="G385" s="101"/>
      <c r="H385" s="101"/>
      <c r="I385" s="101"/>
      <c r="J385" s="101"/>
      <c r="S385" s="101"/>
      <c r="T385" s="241"/>
      <c r="U385" s="241"/>
      <c r="V385" s="241"/>
      <c r="W385" s="241"/>
      <c r="X385" s="241"/>
      <c r="Y385" s="241"/>
      <c r="Z385" s="241"/>
    </row>
    <row r="386" spans="3:26" ht="16.5">
      <c r="C386" s="101"/>
      <c r="D386" s="101"/>
      <c r="E386" s="101"/>
      <c r="F386" s="101"/>
      <c r="G386" s="101"/>
      <c r="H386" s="101"/>
      <c r="I386" s="101"/>
      <c r="J386" s="101"/>
      <c r="S386" s="101"/>
      <c r="T386" s="241"/>
      <c r="U386" s="241"/>
      <c r="V386" s="241"/>
      <c r="W386" s="241"/>
      <c r="X386" s="241"/>
      <c r="Y386" s="241"/>
      <c r="Z386" s="241"/>
    </row>
    <row r="387" spans="3:26" ht="16.5">
      <c r="C387" s="101"/>
      <c r="D387" s="101"/>
      <c r="E387" s="101"/>
      <c r="F387" s="101"/>
      <c r="G387" s="101"/>
      <c r="H387" s="101"/>
      <c r="I387" s="101"/>
      <c r="J387" s="101"/>
      <c r="S387" s="101"/>
      <c r="T387" s="241"/>
      <c r="U387" s="241"/>
      <c r="V387" s="241"/>
      <c r="W387" s="241"/>
      <c r="X387" s="241"/>
      <c r="Y387" s="241"/>
      <c r="Z387" s="241"/>
    </row>
    <row r="388" spans="3:26" ht="16.5">
      <c r="C388" s="101"/>
      <c r="D388" s="101"/>
      <c r="E388" s="101"/>
      <c r="F388" s="101"/>
      <c r="G388" s="101"/>
      <c r="H388" s="101"/>
      <c r="I388" s="101"/>
      <c r="J388" s="101"/>
      <c r="S388" s="101"/>
      <c r="T388" s="241"/>
      <c r="U388" s="241"/>
      <c r="V388" s="241"/>
      <c r="W388" s="241"/>
      <c r="X388" s="241"/>
      <c r="Y388" s="241"/>
      <c r="Z388" s="241"/>
    </row>
    <row r="389" spans="3:26" ht="16.5">
      <c r="C389" s="101"/>
      <c r="D389" s="101"/>
      <c r="E389" s="101"/>
      <c r="F389" s="101"/>
      <c r="G389" s="101"/>
      <c r="H389" s="101"/>
      <c r="I389" s="101"/>
      <c r="J389" s="101"/>
      <c r="S389" s="101"/>
      <c r="T389" s="241"/>
      <c r="U389" s="241"/>
      <c r="V389" s="241"/>
      <c r="W389" s="241"/>
      <c r="X389" s="241"/>
      <c r="Y389" s="241"/>
      <c r="Z389" s="241"/>
    </row>
    <row r="390" spans="3:26" ht="16.5">
      <c r="C390" s="101"/>
      <c r="D390" s="101"/>
      <c r="E390" s="101"/>
      <c r="F390" s="101"/>
      <c r="G390" s="101"/>
      <c r="H390" s="101"/>
      <c r="I390" s="101"/>
      <c r="J390" s="101"/>
      <c r="S390" s="101"/>
      <c r="T390" s="241"/>
      <c r="U390" s="241"/>
      <c r="V390" s="241"/>
      <c r="W390" s="241"/>
      <c r="X390" s="241"/>
      <c r="Y390" s="241"/>
      <c r="Z390" s="241"/>
    </row>
    <row r="391" spans="3:26" ht="16.5">
      <c r="C391" s="101"/>
      <c r="D391" s="101"/>
      <c r="E391" s="101"/>
      <c r="F391" s="101"/>
      <c r="G391" s="101"/>
      <c r="H391" s="101"/>
      <c r="I391" s="101"/>
      <c r="J391" s="101"/>
      <c r="S391" s="101"/>
      <c r="T391" s="241"/>
      <c r="U391" s="241"/>
      <c r="V391" s="241"/>
      <c r="W391" s="241"/>
      <c r="X391" s="241"/>
      <c r="Y391" s="241"/>
      <c r="Z391" s="241"/>
    </row>
    <row r="392" spans="3:26" ht="16.5">
      <c r="C392" s="101"/>
      <c r="D392" s="101"/>
      <c r="E392" s="101"/>
      <c r="F392" s="101"/>
      <c r="G392" s="101"/>
      <c r="H392" s="101"/>
      <c r="I392" s="101"/>
      <c r="J392" s="101"/>
      <c r="S392" s="101"/>
      <c r="T392" s="241"/>
      <c r="U392" s="241"/>
      <c r="V392" s="241"/>
      <c r="W392" s="241"/>
      <c r="X392" s="241"/>
      <c r="Y392" s="241"/>
      <c r="Z392" s="241"/>
    </row>
    <row r="393" spans="3:26" ht="16.5">
      <c r="C393" s="101"/>
      <c r="D393" s="101"/>
      <c r="E393" s="101"/>
      <c r="F393" s="101"/>
      <c r="G393" s="101"/>
      <c r="H393" s="101"/>
      <c r="I393" s="101"/>
      <c r="J393" s="101"/>
      <c r="S393" s="101"/>
      <c r="T393" s="241"/>
      <c r="U393" s="241"/>
      <c r="V393" s="241"/>
      <c r="W393" s="241"/>
      <c r="X393" s="241"/>
      <c r="Y393" s="241"/>
      <c r="Z393" s="241"/>
    </row>
    <row r="394" spans="3:26" ht="16.5">
      <c r="C394" s="101"/>
      <c r="D394" s="101"/>
      <c r="E394" s="101"/>
      <c r="F394" s="101"/>
      <c r="G394" s="101"/>
      <c r="H394" s="101"/>
      <c r="I394" s="101"/>
      <c r="J394" s="101"/>
      <c r="S394" s="101"/>
      <c r="T394" s="241"/>
      <c r="U394" s="241"/>
      <c r="V394" s="241"/>
      <c r="W394" s="241"/>
      <c r="X394" s="241"/>
      <c r="Y394" s="241"/>
      <c r="Z394" s="241"/>
    </row>
    <row r="395" spans="3:26" ht="16.5">
      <c r="C395" s="101"/>
      <c r="D395" s="101"/>
      <c r="E395" s="101"/>
      <c r="F395" s="101"/>
      <c r="G395" s="101"/>
      <c r="H395" s="101"/>
      <c r="I395" s="101"/>
      <c r="J395" s="101"/>
      <c r="S395" s="101"/>
      <c r="T395" s="241"/>
      <c r="U395" s="241"/>
      <c r="V395" s="241"/>
      <c r="W395" s="241"/>
      <c r="X395" s="241"/>
      <c r="Y395" s="241"/>
      <c r="Z395" s="241"/>
    </row>
    <row r="396" spans="3:26" ht="16.5">
      <c r="C396" s="101"/>
      <c r="D396" s="101"/>
      <c r="E396" s="101"/>
      <c r="F396" s="101"/>
      <c r="G396" s="101"/>
      <c r="H396" s="101"/>
      <c r="I396" s="101"/>
      <c r="J396" s="101"/>
      <c r="S396" s="101"/>
      <c r="T396" s="241"/>
      <c r="U396" s="241"/>
      <c r="V396" s="241"/>
      <c r="W396" s="241"/>
      <c r="X396" s="241"/>
      <c r="Y396" s="241"/>
      <c r="Z396" s="241"/>
    </row>
    <row r="397" spans="3:26" ht="16.5">
      <c r="C397" s="101"/>
      <c r="D397" s="101"/>
      <c r="E397" s="101"/>
      <c r="F397" s="101"/>
      <c r="G397" s="101"/>
      <c r="H397" s="101"/>
      <c r="I397" s="101"/>
      <c r="J397" s="101"/>
      <c r="S397" s="101"/>
      <c r="T397" s="241"/>
      <c r="U397" s="241"/>
      <c r="V397" s="241"/>
      <c r="W397" s="241"/>
      <c r="X397" s="241"/>
      <c r="Y397" s="241"/>
      <c r="Z397" s="241"/>
    </row>
    <row r="398" spans="3:26" ht="16.5">
      <c r="C398" s="101"/>
      <c r="D398" s="101"/>
      <c r="E398" s="101"/>
      <c r="F398" s="101"/>
      <c r="G398" s="101"/>
      <c r="H398" s="101"/>
      <c r="I398" s="101"/>
      <c r="J398" s="101"/>
      <c r="S398" s="101"/>
      <c r="T398" s="241"/>
      <c r="U398" s="241"/>
      <c r="V398" s="241"/>
      <c r="W398" s="241"/>
      <c r="X398" s="241"/>
      <c r="Y398" s="241"/>
      <c r="Z398" s="241"/>
    </row>
    <row r="399" spans="3:26" ht="16.5">
      <c r="C399" s="101"/>
      <c r="D399" s="101"/>
      <c r="E399" s="101"/>
      <c r="F399" s="101"/>
      <c r="G399" s="101"/>
      <c r="H399" s="101"/>
      <c r="I399" s="101"/>
      <c r="J399" s="101"/>
      <c r="S399" s="101"/>
      <c r="T399" s="241"/>
      <c r="U399" s="241"/>
      <c r="V399" s="241"/>
      <c r="W399" s="241"/>
      <c r="X399" s="241"/>
      <c r="Y399" s="241"/>
      <c r="Z399" s="241"/>
    </row>
    <row r="400" spans="3:26" ht="16.5">
      <c r="C400" s="101"/>
      <c r="D400" s="101"/>
      <c r="E400" s="101"/>
      <c r="F400" s="101"/>
      <c r="G400" s="101"/>
      <c r="H400" s="101"/>
      <c r="I400" s="101"/>
      <c r="J400" s="101"/>
      <c r="S400" s="101"/>
      <c r="T400" s="241"/>
      <c r="U400" s="241"/>
      <c r="V400" s="241"/>
      <c r="W400" s="241"/>
      <c r="X400" s="241"/>
      <c r="Y400" s="241"/>
      <c r="Z400" s="241"/>
    </row>
    <row r="401" spans="3:26" ht="16.5">
      <c r="C401" s="101"/>
      <c r="D401" s="101"/>
      <c r="E401" s="101"/>
      <c r="F401" s="101"/>
      <c r="G401" s="101"/>
      <c r="H401" s="101"/>
      <c r="I401" s="101"/>
      <c r="J401" s="101"/>
      <c r="S401" s="101"/>
      <c r="T401" s="241"/>
      <c r="U401" s="241"/>
      <c r="V401" s="241"/>
      <c r="W401" s="241"/>
      <c r="X401" s="241"/>
      <c r="Y401" s="241"/>
      <c r="Z401" s="241"/>
    </row>
    <row r="402" spans="3:26" ht="16.5">
      <c r="C402" s="101"/>
      <c r="D402" s="101"/>
      <c r="E402" s="101"/>
      <c r="F402" s="101"/>
      <c r="G402" s="101"/>
      <c r="H402" s="101"/>
      <c r="I402" s="101"/>
      <c r="J402" s="101"/>
      <c r="S402" s="101"/>
      <c r="T402" s="241"/>
      <c r="U402" s="241"/>
      <c r="V402" s="241"/>
      <c r="W402" s="241"/>
      <c r="X402" s="241"/>
      <c r="Y402" s="241"/>
      <c r="Z402" s="241"/>
    </row>
    <row r="403" spans="3:26" ht="16.5">
      <c r="C403" s="101"/>
      <c r="D403" s="101"/>
      <c r="E403" s="101"/>
      <c r="F403" s="101"/>
      <c r="G403" s="101"/>
      <c r="H403" s="101"/>
      <c r="I403" s="101"/>
      <c r="J403" s="101"/>
      <c r="S403" s="101"/>
      <c r="T403" s="241"/>
      <c r="U403" s="241"/>
      <c r="V403" s="241"/>
      <c r="W403" s="241"/>
      <c r="X403" s="241"/>
      <c r="Y403" s="241"/>
      <c r="Z403" s="241"/>
    </row>
    <row r="404" spans="3:26" ht="16.5">
      <c r="C404" s="101"/>
      <c r="D404" s="101"/>
      <c r="E404" s="101"/>
      <c r="F404" s="101"/>
      <c r="G404" s="101"/>
      <c r="H404" s="101"/>
      <c r="I404" s="101"/>
      <c r="J404" s="101"/>
      <c r="S404" s="101"/>
      <c r="T404" s="241"/>
      <c r="U404" s="241"/>
      <c r="V404" s="241"/>
      <c r="W404" s="241"/>
      <c r="X404" s="241"/>
      <c r="Y404" s="241"/>
      <c r="Z404" s="241"/>
    </row>
    <row r="405" spans="3:26" ht="16.5">
      <c r="C405" s="101"/>
      <c r="D405" s="101"/>
      <c r="E405" s="101"/>
      <c r="F405" s="101"/>
      <c r="G405" s="101"/>
      <c r="H405" s="101"/>
      <c r="I405" s="101"/>
      <c r="J405" s="101"/>
      <c r="S405" s="101"/>
      <c r="T405" s="241"/>
      <c r="U405" s="241"/>
      <c r="V405" s="241"/>
      <c r="W405" s="241"/>
      <c r="X405" s="241"/>
      <c r="Y405" s="241"/>
      <c r="Z405" s="241"/>
    </row>
    <row r="406" spans="3:26" ht="16.5">
      <c r="C406" s="101"/>
      <c r="D406" s="101"/>
      <c r="E406" s="101"/>
      <c r="F406" s="101"/>
      <c r="G406" s="101"/>
      <c r="H406" s="101"/>
      <c r="I406" s="101"/>
      <c r="J406" s="101"/>
      <c r="S406" s="101"/>
      <c r="T406" s="241"/>
      <c r="U406" s="241"/>
      <c r="V406" s="241"/>
      <c r="W406" s="241"/>
      <c r="X406" s="241"/>
      <c r="Y406" s="241"/>
      <c r="Z406" s="241"/>
    </row>
    <row r="407" spans="3:26" ht="16.5">
      <c r="C407" s="101"/>
      <c r="D407" s="101"/>
      <c r="E407" s="101"/>
      <c r="F407" s="101"/>
      <c r="G407" s="101"/>
      <c r="H407" s="101"/>
      <c r="I407" s="101"/>
      <c r="J407" s="101"/>
      <c r="S407" s="101"/>
      <c r="T407" s="241"/>
      <c r="U407" s="241"/>
      <c r="V407" s="241"/>
      <c r="W407" s="241"/>
      <c r="X407" s="241"/>
      <c r="Y407" s="241"/>
      <c r="Z407" s="241"/>
    </row>
    <row r="408" spans="3:26" ht="16.5">
      <c r="C408" s="101"/>
      <c r="D408" s="101"/>
      <c r="E408" s="101"/>
      <c r="F408" s="101"/>
      <c r="G408" s="101"/>
      <c r="H408" s="101"/>
      <c r="I408" s="101"/>
      <c r="J408" s="101"/>
      <c r="S408" s="101"/>
      <c r="T408" s="241"/>
      <c r="U408" s="241"/>
      <c r="V408" s="241"/>
      <c r="W408" s="241"/>
      <c r="X408" s="241"/>
      <c r="Y408" s="241"/>
      <c r="Z408" s="241"/>
    </row>
    <row r="409" spans="3:26" ht="16.5">
      <c r="C409" s="101"/>
      <c r="D409" s="101"/>
      <c r="E409" s="101"/>
      <c r="F409" s="101"/>
      <c r="G409" s="101"/>
      <c r="H409" s="101"/>
      <c r="I409" s="101"/>
      <c r="J409" s="101"/>
      <c r="S409" s="101"/>
      <c r="T409" s="241"/>
      <c r="U409" s="241"/>
      <c r="V409" s="241"/>
      <c r="W409" s="241"/>
      <c r="X409" s="241"/>
      <c r="Y409" s="241"/>
      <c r="Z409" s="241"/>
    </row>
    <row r="410" spans="3:26" ht="16.5">
      <c r="C410" s="101"/>
      <c r="D410" s="101"/>
      <c r="E410" s="101"/>
      <c r="F410" s="101"/>
      <c r="G410" s="101"/>
      <c r="H410" s="101"/>
      <c r="I410" s="101"/>
      <c r="J410" s="101"/>
      <c r="S410" s="101"/>
      <c r="T410" s="241"/>
      <c r="U410" s="241"/>
      <c r="V410" s="241"/>
      <c r="W410" s="241"/>
      <c r="X410" s="241"/>
      <c r="Y410" s="241"/>
      <c r="Z410" s="241"/>
    </row>
    <row r="411" spans="3:26" ht="16.5">
      <c r="C411" s="101"/>
      <c r="D411" s="101"/>
      <c r="E411" s="101"/>
      <c r="F411" s="101"/>
      <c r="G411" s="101"/>
      <c r="H411" s="101"/>
      <c r="I411" s="101"/>
      <c r="J411" s="101"/>
      <c r="S411" s="101"/>
      <c r="T411" s="241"/>
      <c r="U411" s="241"/>
      <c r="V411" s="241"/>
      <c r="W411" s="241"/>
      <c r="X411" s="241"/>
      <c r="Y411" s="241"/>
      <c r="Z411" s="241"/>
    </row>
    <row r="412" spans="3:26" ht="16.5">
      <c r="C412" s="101"/>
      <c r="D412" s="101"/>
      <c r="E412" s="101"/>
      <c r="F412" s="101"/>
      <c r="G412" s="101"/>
      <c r="H412" s="101"/>
      <c r="I412" s="101"/>
      <c r="J412" s="101"/>
      <c r="S412" s="101"/>
      <c r="T412" s="241"/>
      <c r="U412" s="241"/>
      <c r="V412" s="241"/>
      <c r="W412" s="241"/>
      <c r="X412" s="241"/>
      <c r="Y412" s="241"/>
      <c r="Z412" s="241"/>
    </row>
    <row r="413" spans="3:26" ht="16.5">
      <c r="C413" s="101"/>
      <c r="D413" s="101"/>
      <c r="E413" s="101"/>
      <c r="F413" s="101"/>
      <c r="G413" s="101"/>
      <c r="H413" s="101"/>
      <c r="I413" s="101"/>
      <c r="J413" s="101"/>
      <c r="S413" s="101"/>
      <c r="T413" s="241"/>
      <c r="U413" s="241"/>
      <c r="V413" s="241"/>
      <c r="W413" s="241"/>
      <c r="X413" s="241"/>
      <c r="Y413" s="241"/>
      <c r="Z413" s="241"/>
    </row>
    <row r="414" spans="3:26" ht="16.5">
      <c r="C414" s="101"/>
      <c r="D414" s="101"/>
      <c r="E414" s="101"/>
      <c r="F414" s="101"/>
      <c r="G414" s="101"/>
      <c r="H414" s="101"/>
      <c r="I414" s="101"/>
      <c r="J414" s="101"/>
      <c r="S414" s="101"/>
      <c r="T414" s="241"/>
      <c r="U414" s="241"/>
      <c r="V414" s="241"/>
      <c r="W414" s="241"/>
      <c r="X414" s="241"/>
      <c r="Y414" s="241"/>
      <c r="Z414" s="241"/>
    </row>
    <row r="415" spans="3:26" ht="16.5">
      <c r="C415" s="101"/>
      <c r="D415" s="101"/>
      <c r="E415" s="101"/>
      <c r="F415" s="101"/>
      <c r="G415" s="101"/>
      <c r="H415" s="101"/>
      <c r="I415" s="101"/>
      <c r="J415" s="101"/>
      <c r="S415" s="101"/>
      <c r="T415" s="241"/>
      <c r="U415" s="241"/>
      <c r="V415" s="241"/>
      <c r="W415" s="241"/>
      <c r="X415" s="241"/>
      <c r="Y415" s="241"/>
      <c r="Z415" s="241"/>
    </row>
    <row r="416" spans="3:26" ht="16.5">
      <c r="C416" s="101"/>
      <c r="D416" s="101"/>
      <c r="E416" s="101"/>
      <c r="F416" s="101"/>
      <c r="G416" s="101"/>
      <c r="H416" s="101"/>
      <c r="I416" s="101"/>
      <c r="J416" s="101"/>
      <c r="S416" s="101"/>
      <c r="T416" s="241"/>
      <c r="U416" s="241"/>
      <c r="V416" s="241"/>
      <c r="W416" s="241"/>
      <c r="X416" s="241"/>
      <c r="Y416" s="241"/>
      <c r="Z416" s="241"/>
    </row>
    <row r="417" spans="3:26" ht="16.5">
      <c r="C417" s="101"/>
      <c r="D417" s="101"/>
      <c r="E417" s="101"/>
      <c r="F417" s="101"/>
      <c r="G417" s="101"/>
      <c r="H417" s="101"/>
      <c r="I417" s="101"/>
      <c r="J417" s="101"/>
      <c r="S417" s="101"/>
      <c r="T417" s="241"/>
      <c r="U417" s="241"/>
      <c r="V417" s="241"/>
      <c r="W417" s="241"/>
      <c r="X417" s="241"/>
      <c r="Y417" s="241"/>
      <c r="Z417" s="241"/>
    </row>
    <row r="418" spans="3:26" ht="16.5">
      <c r="C418" s="101"/>
      <c r="D418" s="101"/>
      <c r="E418" s="101"/>
      <c r="F418" s="101"/>
      <c r="G418" s="101"/>
      <c r="H418" s="101"/>
      <c r="I418" s="101"/>
      <c r="J418" s="101"/>
      <c r="S418" s="101"/>
      <c r="T418" s="241"/>
      <c r="U418" s="241"/>
      <c r="V418" s="241"/>
      <c r="W418" s="241"/>
      <c r="X418" s="241"/>
      <c r="Y418" s="241"/>
      <c r="Z418" s="241"/>
    </row>
    <row r="419" spans="3:26" ht="16.5">
      <c r="C419" s="101"/>
      <c r="D419" s="101"/>
      <c r="E419" s="101"/>
      <c r="F419" s="101"/>
      <c r="G419" s="101"/>
      <c r="H419" s="101"/>
      <c r="I419" s="101"/>
      <c r="J419" s="101"/>
      <c r="S419" s="101"/>
      <c r="T419" s="241"/>
      <c r="U419" s="241"/>
      <c r="V419" s="241"/>
      <c r="W419" s="241"/>
      <c r="X419" s="241"/>
      <c r="Y419" s="241"/>
      <c r="Z419" s="241"/>
    </row>
    <row r="420" spans="3:26" ht="16.5">
      <c r="C420" s="101"/>
      <c r="D420" s="101"/>
      <c r="E420" s="101"/>
      <c r="F420" s="101"/>
      <c r="G420" s="101"/>
      <c r="H420" s="101"/>
      <c r="I420" s="101"/>
      <c r="J420" s="101"/>
      <c r="S420" s="101"/>
      <c r="T420" s="241"/>
      <c r="U420" s="241"/>
      <c r="V420" s="241"/>
      <c r="W420" s="241"/>
      <c r="X420" s="241"/>
      <c r="Y420" s="241"/>
      <c r="Z420" s="241"/>
    </row>
    <row r="421" spans="3:26" ht="16.5">
      <c r="C421" s="101"/>
      <c r="D421" s="101"/>
      <c r="E421" s="101"/>
      <c r="F421" s="101"/>
      <c r="G421" s="101"/>
      <c r="H421" s="101"/>
      <c r="I421" s="101"/>
      <c r="J421" s="101"/>
      <c r="S421" s="101"/>
      <c r="T421" s="241"/>
      <c r="U421" s="241"/>
      <c r="V421" s="241"/>
      <c r="W421" s="241"/>
      <c r="X421" s="241"/>
      <c r="Y421" s="241"/>
      <c r="Z421" s="241"/>
    </row>
    <row r="422" spans="3:26" ht="16.5">
      <c r="C422" s="101"/>
      <c r="D422" s="101"/>
      <c r="E422" s="101"/>
      <c r="F422" s="101"/>
      <c r="G422" s="101"/>
      <c r="H422" s="101"/>
      <c r="I422" s="101"/>
      <c r="J422" s="101"/>
      <c r="S422" s="101"/>
      <c r="T422" s="241"/>
      <c r="U422" s="241"/>
      <c r="V422" s="241"/>
      <c r="W422" s="241"/>
      <c r="X422" s="241"/>
      <c r="Y422" s="241"/>
      <c r="Z422" s="241"/>
    </row>
    <row r="423" spans="3:26" ht="16.5">
      <c r="C423" s="101"/>
      <c r="D423" s="101"/>
      <c r="E423" s="101"/>
      <c r="F423" s="101"/>
      <c r="G423" s="101"/>
      <c r="H423" s="101"/>
      <c r="I423" s="101"/>
      <c r="J423" s="101"/>
      <c r="S423" s="101"/>
      <c r="T423" s="241"/>
      <c r="U423" s="241"/>
      <c r="V423" s="241"/>
      <c r="W423" s="241"/>
      <c r="X423" s="241"/>
      <c r="Y423" s="241"/>
      <c r="Z423" s="241"/>
    </row>
    <row r="424" spans="3:26" ht="16.5">
      <c r="C424" s="101"/>
      <c r="D424" s="101"/>
      <c r="E424" s="101"/>
      <c r="F424" s="101"/>
      <c r="G424" s="101"/>
      <c r="H424" s="101"/>
      <c r="I424" s="101"/>
      <c r="J424" s="101"/>
      <c r="S424" s="101"/>
      <c r="T424" s="241"/>
      <c r="U424" s="241"/>
      <c r="V424" s="241"/>
      <c r="W424" s="241"/>
      <c r="X424" s="241"/>
      <c r="Y424" s="241"/>
      <c r="Z424" s="241"/>
    </row>
    <row r="425" spans="3:26" ht="16.5">
      <c r="C425" s="101"/>
      <c r="D425" s="101"/>
      <c r="E425" s="101"/>
      <c r="F425" s="101"/>
      <c r="G425" s="101"/>
      <c r="H425" s="101"/>
      <c r="I425" s="101"/>
      <c r="J425" s="101"/>
      <c r="S425" s="101"/>
      <c r="T425" s="241"/>
      <c r="U425" s="241"/>
      <c r="V425" s="241"/>
      <c r="W425" s="241"/>
      <c r="X425" s="241"/>
      <c r="Y425" s="241"/>
      <c r="Z425" s="241"/>
    </row>
    <row r="426" spans="3:26" ht="16.5">
      <c r="C426" s="101"/>
      <c r="D426" s="101"/>
      <c r="E426" s="101"/>
      <c r="F426" s="101"/>
      <c r="G426" s="101"/>
      <c r="H426" s="101"/>
      <c r="I426" s="101"/>
      <c r="J426" s="101"/>
      <c r="S426" s="101"/>
      <c r="T426" s="241"/>
      <c r="U426" s="241"/>
      <c r="V426" s="241"/>
      <c r="W426" s="241"/>
      <c r="X426" s="241"/>
      <c r="Y426" s="241"/>
      <c r="Z426" s="241"/>
    </row>
    <row r="427" spans="3:26" ht="16.5">
      <c r="C427" s="101"/>
      <c r="D427" s="101"/>
      <c r="E427" s="101"/>
      <c r="F427" s="101"/>
      <c r="G427" s="101"/>
      <c r="H427" s="101"/>
      <c r="I427" s="101"/>
      <c r="J427" s="101"/>
      <c r="S427" s="101"/>
      <c r="T427" s="241"/>
      <c r="U427" s="241"/>
      <c r="V427" s="241"/>
      <c r="W427" s="241"/>
      <c r="X427" s="241"/>
      <c r="Y427" s="241"/>
      <c r="Z427" s="241"/>
    </row>
    <row r="428" spans="3:26" ht="16.5">
      <c r="C428" s="101"/>
      <c r="D428" s="101"/>
      <c r="E428" s="101"/>
      <c r="F428" s="101"/>
      <c r="G428" s="101"/>
      <c r="H428" s="101"/>
      <c r="I428" s="101"/>
      <c r="J428" s="101"/>
      <c r="S428" s="101"/>
      <c r="T428" s="241"/>
      <c r="U428" s="241"/>
      <c r="V428" s="241"/>
      <c r="W428" s="241"/>
      <c r="X428" s="241"/>
      <c r="Y428" s="241"/>
      <c r="Z428" s="241"/>
    </row>
    <row r="429" spans="3:26" ht="16.5">
      <c r="C429" s="101"/>
      <c r="D429" s="101"/>
      <c r="E429" s="101"/>
      <c r="F429" s="101"/>
      <c r="G429" s="101"/>
      <c r="H429" s="101"/>
      <c r="I429" s="101"/>
      <c r="J429" s="101"/>
      <c r="S429" s="101"/>
      <c r="T429" s="241"/>
      <c r="U429" s="241"/>
      <c r="V429" s="241"/>
      <c r="W429" s="241"/>
      <c r="X429" s="241"/>
      <c r="Y429" s="241"/>
      <c r="Z429" s="241"/>
    </row>
    <row r="430" spans="3:26" ht="16.5">
      <c r="C430" s="101"/>
      <c r="D430" s="101"/>
      <c r="E430" s="101"/>
      <c r="F430" s="101"/>
      <c r="G430" s="101"/>
      <c r="H430" s="101"/>
      <c r="I430" s="101"/>
      <c r="J430" s="101"/>
      <c r="S430" s="101"/>
      <c r="T430" s="241"/>
      <c r="U430" s="241"/>
      <c r="V430" s="241"/>
      <c r="W430" s="241"/>
      <c r="X430" s="241"/>
      <c r="Y430" s="241"/>
      <c r="Z430" s="241"/>
    </row>
    <row r="431" spans="3:26" ht="16.5">
      <c r="C431" s="101"/>
      <c r="D431" s="101"/>
      <c r="E431" s="101"/>
      <c r="F431" s="101"/>
      <c r="G431" s="101"/>
      <c r="H431" s="101"/>
      <c r="I431" s="101"/>
      <c r="J431" s="101"/>
      <c r="S431" s="101"/>
      <c r="T431" s="241"/>
      <c r="U431" s="241"/>
      <c r="V431" s="241"/>
      <c r="W431" s="241"/>
      <c r="X431" s="241"/>
      <c r="Y431" s="241"/>
      <c r="Z431" s="241"/>
    </row>
    <row r="432" spans="3:26" ht="16.5">
      <c r="C432" s="101"/>
      <c r="D432" s="101"/>
      <c r="E432" s="101"/>
      <c r="F432" s="101"/>
      <c r="G432" s="101"/>
      <c r="H432" s="101"/>
      <c r="I432" s="101"/>
      <c r="J432" s="101"/>
      <c r="S432" s="101"/>
      <c r="T432" s="241"/>
      <c r="U432" s="241"/>
      <c r="V432" s="241"/>
      <c r="W432" s="241"/>
      <c r="X432" s="241"/>
      <c r="Y432" s="241"/>
      <c r="Z432" s="241"/>
    </row>
    <row r="433" spans="3:26" ht="16.5">
      <c r="C433" s="101"/>
      <c r="D433" s="101"/>
      <c r="E433" s="101"/>
      <c r="F433" s="101"/>
      <c r="G433" s="101"/>
      <c r="H433" s="101"/>
      <c r="I433" s="101"/>
      <c r="J433" s="101"/>
      <c r="S433" s="101"/>
      <c r="T433" s="241"/>
      <c r="U433" s="241"/>
      <c r="V433" s="241"/>
      <c r="W433" s="241"/>
      <c r="X433" s="241"/>
      <c r="Y433" s="241"/>
      <c r="Z433" s="241"/>
    </row>
    <row r="434" spans="3:26" ht="16.5">
      <c r="C434" s="101"/>
      <c r="D434" s="101"/>
      <c r="E434" s="101"/>
      <c r="F434" s="101"/>
      <c r="G434" s="101"/>
      <c r="H434" s="101"/>
      <c r="I434" s="101"/>
      <c r="J434" s="101"/>
      <c r="S434" s="101"/>
      <c r="T434" s="241"/>
      <c r="U434" s="241"/>
      <c r="V434" s="241"/>
      <c r="W434" s="241"/>
      <c r="X434" s="241"/>
      <c r="Y434" s="241"/>
      <c r="Z434" s="241"/>
    </row>
    <row r="435" spans="3:26" ht="16.5">
      <c r="C435" s="101"/>
      <c r="D435" s="101"/>
      <c r="E435" s="101"/>
      <c r="F435" s="101"/>
      <c r="G435" s="101"/>
      <c r="H435" s="101"/>
      <c r="I435" s="101"/>
      <c r="J435" s="101"/>
      <c r="S435" s="101"/>
      <c r="T435" s="241"/>
      <c r="U435" s="241"/>
      <c r="V435" s="241"/>
      <c r="W435" s="241"/>
      <c r="X435" s="241"/>
      <c r="Y435" s="241"/>
      <c r="Z435" s="241"/>
    </row>
    <row r="436" spans="3:26" ht="16.5">
      <c r="C436" s="101"/>
      <c r="D436" s="101"/>
      <c r="E436" s="101"/>
      <c r="F436" s="101"/>
      <c r="G436" s="101"/>
      <c r="H436" s="101"/>
      <c r="I436" s="101"/>
      <c r="J436" s="101"/>
      <c r="S436" s="101"/>
      <c r="T436" s="241"/>
      <c r="U436" s="241"/>
      <c r="V436" s="241"/>
      <c r="W436" s="241"/>
      <c r="X436" s="241"/>
      <c r="Y436" s="241"/>
      <c r="Z436" s="241"/>
    </row>
    <row r="437" spans="3:26" ht="16.5">
      <c r="C437" s="101"/>
      <c r="D437" s="101"/>
      <c r="E437" s="101"/>
      <c r="F437" s="101"/>
      <c r="G437" s="101"/>
      <c r="H437" s="101"/>
      <c r="I437" s="101"/>
      <c r="J437" s="101"/>
      <c r="S437" s="101"/>
      <c r="T437" s="241"/>
      <c r="U437" s="241"/>
      <c r="V437" s="241"/>
      <c r="W437" s="241"/>
      <c r="X437" s="241"/>
      <c r="Y437" s="241"/>
      <c r="Z437" s="241"/>
    </row>
    <row r="438" spans="3:26" ht="16.5">
      <c r="C438" s="101"/>
      <c r="D438" s="101"/>
      <c r="E438" s="101"/>
      <c r="F438" s="101"/>
      <c r="G438" s="101"/>
      <c r="H438" s="101"/>
      <c r="I438" s="101"/>
      <c r="J438" s="101"/>
      <c r="S438" s="101"/>
      <c r="T438" s="241"/>
      <c r="U438" s="241"/>
      <c r="V438" s="241"/>
      <c r="W438" s="241"/>
      <c r="X438" s="241"/>
      <c r="Y438" s="241"/>
      <c r="Z438" s="241"/>
    </row>
    <row r="439" spans="3:26" ht="16.5">
      <c r="C439" s="101"/>
      <c r="D439" s="101"/>
      <c r="E439" s="101"/>
      <c r="F439" s="101"/>
      <c r="G439" s="101"/>
      <c r="H439" s="101"/>
      <c r="I439" s="101"/>
      <c r="J439" s="101"/>
      <c r="S439" s="101"/>
      <c r="T439" s="241"/>
      <c r="U439" s="241"/>
      <c r="V439" s="241"/>
      <c r="W439" s="241"/>
      <c r="X439" s="241"/>
      <c r="Y439" s="241"/>
      <c r="Z439" s="241"/>
    </row>
    <row r="440" spans="3:26" ht="16.5">
      <c r="C440" s="101"/>
      <c r="D440" s="101"/>
      <c r="E440" s="101"/>
      <c r="F440" s="101"/>
      <c r="G440" s="101"/>
      <c r="H440" s="101"/>
      <c r="I440" s="101"/>
      <c r="J440" s="101"/>
      <c r="S440" s="101"/>
      <c r="T440" s="241"/>
      <c r="U440" s="241"/>
      <c r="V440" s="241"/>
      <c r="W440" s="241"/>
      <c r="X440" s="241"/>
      <c r="Y440" s="241"/>
      <c r="Z440" s="241"/>
    </row>
    <row r="441" spans="3:26" ht="16.5">
      <c r="C441" s="101"/>
      <c r="D441" s="101"/>
      <c r="E441" s="101"/>
      <c r="F441" s="101"/>
      <c r="G441" s="101"/>
      <c r="H441" s="101"/>
      <c r="I441" s="101"/>
      <c r="J441" s="101"/>
      <c r="S441" s="101"/>
      <c r="T441" s="241"/>
      <c r="U441" s="241"/>
      <c r="V441" s="241"/>
      <c r="W441" s="241"/>
      <c r="X441" s="241"/>
      <c r="Y441" s="241"/>
      <c r="Z441" s="241"/>
    </row>
    <row r="442" spans="3:26" ht="16.5">
      <c r="C442" s="101"/>
      <c r="D442" s="101"/>
      <c r="E442" s="101"/>
      <c r="F442" s="101"/>
      <c r="G442" s="101"/>
      <c r="H442" s="101"/>
      <c r="I442" s="101"/>
      <c r="J442" s="101"/>
      <c r="S442" s="101"/>
      <c r="T442" s="241"/>
      <c r="U442" s="241"/>
      <c r="V442" s="241"/>
      <c r="W442" s="241"/>
      <c r="X442" s="241"/>
      <c r="Y442" s="241"/>
      <c r="Z442" s="241"/>
    </row>
    <row r="443" spans="3:26" ht="16.5">
      <c r="C443" s="101"/>
      <c r="D443" s="101"/>
      <c r="E443" s="101"/>
      <c r="F443" s="101"/>
      <c r="G443" s="101"/>
      <c r="H443" s="101"/>
      <c r="I443" s="101"/>
      <c r="J443" s="101"/>
      <c r="S443" s="101"/>
      <c r="T443" s="241"/>
      <c r="U443" s="241"/>
      <c r="V443" s="241"/>
      <c r="W443" s="241"/>
      <c r="X443" s="241"/>
      <c r="Y443" s="241"/>
      <c r="Z443" s="241"/>
    </row>
    <row r="444" spans="3:26" ht="16.5">
      <c r="C444" s="101"/>
      <c r="D444" s="101"/>
      <c r="E444" s="101"/>
      <c r="F444" s="101"/>
      <c r="G444" s="101"/>
      <c r="H444" s="101"/>
      <c r="I444" s="101"/>
      <c r="J444" s="101"/>
      <c r="S444" s="101"/>
      <c r="T444" s="241"/>
      <c r="U444" s="241"/>
      <c r="V444" s="241"/>
      <c r="W444" s="241"/>
      <c r="X444" s="241"/>
      <c r="Y444" s="241"/>
      <c r="Z444" s="241"/>
    </row>
    <row r="445" spans="3:26" ht="16.5">
      <c r="C445" s="101"/>
      <c r="D445" s="101"/>
      <c r="E445" s="101"/>
      <c r="F445" s="101"/>
      <c r="G445" s="101"/>
      <c r="H445" s="101"/>
      <c r="I445" s="101"/>
      <c r="J445" s="101"/>
      <c r="S445" s="101"/>
      <c r="T445" s="241"/>
      <c r="U445" s="241"/>
      <c r="V445" s="241"/>
      <c r="W445" s="241"/>
      <c r="X445" s="241"/>
      <c r="Y445" s="241"/>
      <c r="Z445" s="241"/>
    </row>
    <row r="446" spans="3:26" ht="16.5">
      <c r="C446" s="101"/>
      <c r="D446" s="101"/>
      <c r="E446" s="101"/>
      <c r="F446" s="101"/>
      <c r="G446" s="101"/>
      <c r="H446" s="101"/>
      <c r="I446" s="101"/>
      <c r="J446" s="101"/>
      <c r="S446" s="101"/>
      <c r="T446" s="241"/>
      <c r="U446" s="241"/>
      <c r="V446" s="241"/>
      <c r="W446" s="241"/>
      <c r="X446" s="241"/>
      <c r="Y446" s="241"/>
      <c r="Z446" s="241"/>
    </row>
    <row r="447" spans="3:26" ht="16.5">
      <c r="C447" s="101"/>
      <c r="D447" s="101"/>
      <c r="E447" s="101"/>
      <c r="F447" s="101"/>
      <c r="G447" s="101"/>
      <c r="H447" s="101"/>
      <c r="I447" s="101"/>
      <c r="J447" s="101"/>
      <c r="S447" s="101"/>
      <c r="T447" s="241"/>
      <c r="U447" s="241"/>
      <c r="V447" s="241"/>
      <c r="W447" s="241"/>
      <c r="X447" s="241"/>
      <c r="Y447" s="241"/>
      <c r="Z447" s="241"/>
    </row>
    <row r="448" spans="3:26" ht="16.5">
      <c r="C448" s="101"/>
      <c r="D448" s="101"/>
      <c r="E448" s="101"/>
      <c r="F448" s="101"/>
      <c r="G448" s="101"/>
      <c r="H448" s="101"/>
      <c r="I448" s="101"/>
      <c r="J448" s="101"/>
      <c r="S448" s="101"/>
      <c r="T448" s="241"/>
      <c r="U448" s="241"/>
      <c r="V448" s="241"/>
      <c r="W448" s="241"/>
      <c r="X448" s="241"/>
      <c r="Y448" s="241"/>
      <c r="Z448" s="241"/>
    </row>
    <row r="449" spans="3:26" ht="16.5">
      <c r="C449" s="101"/>
      <c r="D449" s="101"/>
      <c r="E449" s="101"/>
      <c r="F449" s="101"/>
      <c r="G449" s="101"/>
      <c r="H449" s="101"/>
      <c r="I449" s="101"/>
      <c r="J449" s="101"/>
      <c r="S449" s="101"/>
      <c r="T449" s="241"/>
      <c r="U449" s="241"/>
      <c r="V449" s="241"/>
      <c r="W449" s="241"/>
      <c r="X449" s="241"/>
      <c r="Y449" s="241"/>
      <c r="Z449" s="241"/>
    </row>
    <row r="450" spans="3:26" ht="16.5">
      <c r="C450" s="101"/>
      <c r="D450" s="101"/>
      <c r="E450" s="101"/>
      <c r="F450" s="101"/>
      <c r="G450" s="101"/>
      <c r="H450" s="101"/>
      <c r="I450" s="101"/>
      <c r="J450" s="101"/>
      <c r="S450" s="101"/>
      <c r="T450" s="241"/>
      <c r="U450" s="241"/>
      <c r="V450" s="241"/>
      <c r="W450" s="241"/>
      <c r="X450" s="241"/>
      <c r="Y450" s="241"/>
      <c r="Z450" s="241"/>
    </row>
    <row r="451" spans="3:26" ht="16.5">
      <c r="C451" s="101"/>
      <c r="D451" s="101"/>
      <c r="E451" s="101"/>
      <c r="F451" s="101"/>
      <c r="G451" s="101"/>
      <c r="H451" s="101"/>
      <c r="I451" s="101"/>
      <c r="J451" s="101"/>
      <c r="S451" s="101"/>
      <c r="T451" s="241"/>
      <c r="U451" s="241"/>
      <c r="V451" s="241"/>
      <c r="W451" s="241"/>
      <c r="X451" s="241"/>
      <c r="Y451" s="241"/>
      <c r="Z451" s="241"/>
    </row>
    <row r="452" spans="3:26" ht="16.5">
      <c r="C452" s="101"/>
      <c r="D452" s="101"/>
      <c r="E452" s="101"/>
      <c r="F452" s="101"/>
      <c r="G452" s="101"/>
      <c r="H452" s="101"/>
      <c r="I452" s="101"/>
      <c r="J452" s="101"/>
      <c r="S452" s="101"/>
      <c r="T452" s="241"/>
      <c r="U452" s="241"/>
      <c r="V452" s="241"/>
      <c r="W452" s="241"/>
      <c r="X452" s="241"/>
      <c r="Y452" s="241"/>
      <c r="Z452" s="241"/>
    </row>
    <row r="453" spans="3:26" ht="16.5">
      <c r="C453" s="101"/>
      <c r="D453" s="101"/>
      <c r="E453" s="101"/>
      <c r="F453" s="101"/>
      <c r="G453" s="101"/>
      <c r="H453" s="101"/>
      <c r="I453" s="101"/>
      <c r="J453" s="101"/>
      <c r="S453" s="101"/>
      <c r="T453" s="241"/>
      <c r="U453" s="241"/>
      <c r="V453" s="241"/>
      <c r="W453" s="241"/>
      <c r="X453" s="241"/>
      <c r="Y453" s="241"/>
      <c r="Z453" s="241"/>
    </row>
    <row r="454" spans="3:26" ht="16.5">
      <c r="C454" s="101"/>
      <c r="D454" s="101"/>
      <c r="E454" s="101"/>
      <c r="F454" s="101"/>
      <c r="G454" s="101"/>
      <c r="H454" s="101"/>
      <c r="I454" s="101"/>
      <c r="J454" s="101"/>
      <c r="S454" s="101"/>
      <c r="T454" s="241"/>
      <c r="U454" s="241"/>
      <c r="V454" s="241"/>
      <c r="W454" s="241"/>
      <c r="X454" s="241"/>
      <c r="Y454" s="241"/>
      <c r="Z454" s="241"/>
    </row>
    <row r="455" spans="3:26" ht="16.5">
      <c r="C455" s="101"/>
      <c r="D455" s="101"/>
      <c r="E455" s="101"/>
      <c r="F455" s="101"/>
      <c r="G455" s="101"/>
      <c r="H455" s="101"/>
      <c r="I455" s="101"/>
      <c r="J455" s="101"/>
      <c r="S455" s="101"/>
      <c r="T455" s="241"/>
      <c r="U455" s="241"/>
      <c r="V455" s="241"/>
      <c r="W455" s="241"/>
      <c r="X455" s="241"/>
      <c r="Y455" s="241"/>
      <c r="Z455" s="241"/>
    </row>
    <row r="456" spans="3:26" ht="16.5">
      <c r="C456" s="101"/>
      <c r="D456" s="101"/>
      <c r="E456" s="101"/>
      <c r="F456" s="101"/>
      <c r="G456" s="101"/>
      <c r="H456" s="101"/>
      <c r="I456" s="101"/>
      <c r="J456" s="101"/>
      <c r="S456" s="101"/>
      <c r="T456" s="241"/>
      <c r="U456" s="241"/>
      <c r="V456" s="241"/>
      <c r="W456" s="241"/>
      <c r="X456" s="241"/>
      <c r="Y456" s="241"/>
      <c r="Z456" s="241"/>
    </row>
    <row r="457" spans="3:26" ht="16.5">
      <c r="C457" s="101"/>
      <c r="D457" s="101"/>
      <c r="E457" s="101"/>
      <c r="F457" s="101"/>
      <c r="G457" s="101"/>
      <c r="H457" s="101"/>
      <c r="I457" s="101"/>
      <c r="J457" s="101"/>
      <c r="S457" s="101"/>
      <c r="T457" s="241"/>
      <c r="U457" s="241"/>
      <c r="V457" s="241"/>
      <c r="W457" s="241"/>
      <c r="X457" s="241"/>
      <c r="Y457" s="241"/>
      <c r="Z457" s="241"/>
    </row>
    <row r="458" spans="3:26" ht="16.5">
      <c r="C458" s="101"/>
      <c r="D458" s="101"/>
      <c r="E458" s="101"/>
      <c r="F458" s="101"/>
      <c r="G458" s="101"/>
      <c r="H458" s="101"/>
      <c r="I458" s="101"/>
      <c r="J458" s="101"/>
      <c r="S458" s="101"/>
      <c r="T458" s="241"/>
      <c r="U458" s="241"/>
      <c r="V458" s="241"/>
      <c r="W458" s="241"/>
      <c r="X458" s="241"/>
      <c r="Y458" s="241"/>
      <c r="Z458" s="241"/>
    </row>
    <row r="459" spans="3:26" ht="16.5">
      <c r="C459" s="101"/>
      <c r="D459" s="101"/>
      <c r="E459" s="101"/>
      <c r="F459" s="101"/>
      <c r="G459" s="101"/>
      <c r="H459" s="101"/>
      <c r="I459" s="101"/>
      <c r="J459" s="101"/>
      <c r="S459" s="101"/>
      <c r="T459" s="241"/>
      <c r="U459" s="241"/>
      <c r="V459" s="241"/>
      <c r="W459" s="241"/>
      <c r="X459" s="241"/>
      <c r="Y459" s="241"/>
      <c r="Z459" s="241"/>
    </row>
    <row r="460" spans="3:26" ht="16.5">
      <c r="C460" s="101"/>
      <c r="D460" s="101"/>
      <c r="E460" s="101"/>
      <c r="F460" s="101"/>
      <c r="G460" s="101"/>
      <c r="H460" s="101"/>
      <c r="I460" s="101"/>
      <c r="J460" s="101"/>
      <c r="S460" s="101"/>
      <c r="T460" s="241"/>
      <c r="U460" s="241"/>
      <c r="V460" s="241"/>
      <c r="W460" s="241"/>
      <c r="X460" s="241"/>
      <c r="Y460" s="241"/>
      <c r="Z460" s="241"/>
    </row>
    <row r="461" spans="3:26" ht="16.5">
      <c r="C461" s="101"/>
      <c r="D461" s="101"/>
      <c r="E461" s="101"/>
      <c r="F461" s="101"/>
      <c r="G461" s="101"/>
      <c r="H461" s="101"/>
      <c r="I461" s="101"/>
      <c r="J461" s="101"/>
      <c r="S461" s="101"/>
      <c r="T461" s="241"/>
      <c r="U461" s="241"/>
      <c r="V461" s="241"/>
      <c r="W461" s="241"/>
      <c r="X461" s="241"/>
      <c r="Y461" s="241"/>
      <c r="Z461" s="241"/>
    </row>
    <row r="462" spans="3:26" ht="16.5">
      <c r="C462" s="101"/>
      <c r="D462" s="101"/>
      <c r="E462" s="101"/>
      <c r="F462" s="101"/>
      <c r="G462" s="101"/>
      <c r="H462" s="101"/>
      <c r="I462" s="101"/>
      <c r="J462" s="101"/>
      <c r="S462" s="101"/>
      <c r="T462" s="241"/>
      <c r="U462" s="241"/>
      <c r="V462" s="241"/>
      <c r="W462" s="241"/>
      <c r="X462" s="241"/>
      <c r="Y462" s="241"/>
      <c r="Z462" s="241"/>
    </row>
    <row r="463" spans="3:26" ht="16.5">
      <c r="C463" s="101"/>
      <c r="D463" s="101"/>
      <c r="E463" s="101"/>
      <c r="F463" s="101"/>
      <c r="G463" s="101"/>
      <c r="H463" s="101"/>
      <c r="I463" s="101"/>
      <c r="J463" s="101"/>
      <c r="S463" s="101"/>
      <c r="T463" s="241"/>
      <c r="U463" s="241"/>
      <c r="V463" s="241"/>
      <c r="W463" s="241"/>
      <c r="X463" s="241"/>
      <c r="Y463" s="241"/>
      <c r="Z463" s="241"/>
    </row>
    <row r="464" spans="3:26" ht="16.5">
      <c r="C464" s="101"/>
      <c r="D464" s="101"/>
      <c r="E464" s="101"/>
      <c r="F464" s="101"/>
      <c r="G464" s="101"/>
      <c r="H464" s="101"/>
      <c r="I464" s="101"/>
      <c r="J464" s="101"/>
      <c r="S464" s="101"/>
      <c r="T464" s="241"/>
      <c r="U464" s="241"/>
      <c r="V464" s="241"/>
      <c r="W464" s="241"/>
      <c r="X464" s="241"/>
      <c r="Y464" s="241"/>
      <c r="Z464" s="241"/>
    </row>
    <row r="465" spans="3:26" ht="16.5">
      <c r="C465" s="101"/>
      <c r="D465" s="101"/>
      <c r="E465" s="101"/>
      <c r="F465" s="101"/>
      <c r="G465" s="101"/>
      <c r="H465" s="101"/>
      <c r="I465" s="101"/>
      <c r="J465" s="101"/>
      <c r="S465" s="101"/>
      <c r="T465" s="241"/>
      <c r="U465" s="241"/>
      <c r="V465" s="241"/>
      <c r="W465" s="241"/>
      <c r="X465" s="241"/>
      <c r="Y465" s="241"/>
      <c r="Z465" s="241"/>
    </row>
    <row r="466" spans="3:26" ht="16.5">
      <c r="C466" s="101"/>
      <c r="D466" s="101"/>
      <c r="E466" s="101"/>
      <c r="F466" s="101"/>
      <c r="G466" s="101"/>
      <c r="H466" s="101"/>
      <c r="I466" s="101"/>
      <c r="J466" s="101"/>
      <c r="S466" s="101"/>
      <c r="T466" s="241"/>
      <c r="U466" s="241"/>
      <c r="V466" s="241"/>
      <c r="W466" s="241"/>
      <c r="X466" s="241"/>
      <c r="Y466" s="241"/>
      <c r="Z466" s="241"/>
    </row>
    <row r="467" spans="3:26" ht="16.5">
      <c r="C467" s="101"/>
      <c r="D467" s="101"/>
      <c r="E467" s="101"/>
      <c r="F467" s="101"/>
      <c r="G467" s="101"/>
      <c r="H467" s="101"/>
      <c r="I467" s="101"/>
      <c r="J467" s="101"/>
      <c r="S467" s="101"/>
      <c r="T467" s="241"/>
      <c r="U467" s="241"/>
      <c r="V467" s="241"/>
      <c r="W467" s="241"/>
      <c r="X467" s="241"/>
      <c r="Y467" s="241"/>
      <c r="Z467" s="241"/>
    </row>
    <row r="468" spans="3:26" ht="16.5">
      <c r="C468" s="101"/>
      <c r="D468" s="101"/>
      <c r="E468" s="101"/>
      <c r="F468" s="101"/>
      <c r="G468" s="101"/>
      <c r="H468" s="101"/>
      <c r="I468" s="101"/>
      <c r="J468" s="101"/>
      <c r="S468" s="101"/>
      <c r="T468" s="241"/>
      <c r="U468" s="241"/>
      <c r="V468" s="241"/>
      <c r="W468" s="241"/>
      <c r="X468" s="241"/>
      <c r="Y468" s="241"/>
      <c r="Z468" s="241"/>
    </row>
    <row r="469" spans="3:26" ht="16.5">
      <c r="C469" s="101"/>
      <c r="D469" s="101"/>
      <c r="E469" s="101"/>
      <c r="F469" s="101"/>
      <c r="G469" s="101"/>
      <c r="H469" s="101"/>
      <c r="I469" s="101"/>
      <c r="J469" s="101"/>
      <c r="S469" s="101"/>
      <c r="T469" s="241"/>
      <c r="U469" s="241"/>
      <c r="V469" s="241"/>
      <c r="W469" s="241"/>
      <c r="X469" s="241"/>
      <c r="Y469" s="241"/>
      <c r="Z469" s="241"/>
    </row>
    <row r="470" spans="3:26" ht="16.5">
      <c r="C470" s="101"/>
      <c r="D470" s="101"/>
      <c r="E470" s="101"/>
      <c r="F470" s="101"/>
      <c r="G470" s="101"/>
      <c r="H470" s="101"/>
      <c r="I470" s="101"/>
      <c r="J470" s="101"/>
      <c r="S470" s="101"/>
      <c r="T470" s="241"/>
      <c r="U470" s="241"/>
      <c r="V470" s="241"/>
      <c r="W470" s="241"/>
      <c r="X470" s="241"/>
      <c r="Y470" s="241"/>
      <c r="Z470" s="241"/>
    </row>
    <row r="471" spans="3:26" ht="16.5">
      <c r="C471" s="101"/>
      <c r="D471" s="101"/>
      <c r="E471" s="101"/>
      <c r="F471" s="101"/>
      <c r="G471" s="101"/>
      <c r="H471" s="101"/>
      <c r="I471" s="101"/>
      <c r="J471" s="101"/>
      <c r="S471" s="101"/>
      <c r="T471" s="241"/>
      <c r="U471" s="241"/>
      <c r="V471" s="241"/>
      <c r="W471" s="241"/>
      <c r="X471" s="241"/>
      <c r="Y471" s="241"/>
      <c r="Z471" s="241"/>
    </row>
    <row r="472" spans="3:26" ht="16.5">
      <c r="C472" s="101"/>
      <c r="D472" s="101"/>
      <c r="E472" s="101"/>
      <c r="F472" s="101"/>
      <c r="G472" s="101"/>
      <c r="H472" s="101"/>
      <c r="I472" s="101"/>
      <c r="J472" s="101"/>
      <c r="S472" s="101"/>
      <c r="T472" s="241"/>
      <c r="U472" s="241"/>
      <c r="V472" s="241"/>
      <c r="W472" s="241"/>
      <c r="X472" s="241"/>
      <c r="Y472" s="241"/>
      <c r="Z472" s="241"/>
    </row>
    <row r="473" spans="3:26" ht="16.5">
      <c r="C473" s="101"/>
      <c r="D473" s="101"/>
      <c r="E473" s="101"/>
      <c r="F473" s="101"/>
      <c r="G473" s="101"/>
      <c r="H473" s="101"/>
      <c r="I473" s="101"/>
      <c r="J473" s="101"/>
      <c r="S473" s="101"/>
      <c r="T473" s="241"/>
      <c r="U473" s="241"/>
      <c r="V473" s="241"/>
      <c r="W473" s="241"/>
      <c r="X473" s="241"/>
      <c r="Y473" s="241"/>
      <c r="Z473" s="241"/>
    </row>
    <row r="474" spans="3:26" ht="16.5">
      <c r="C474" s="101"/>
      <c r="D474" s="101"/>
      <c r="E474" s="101"/>
      <c r="F474" s="101"/>
      <c r="G474" s="101"/>
      <c r="H474" s="101"/>
      <c r="I474" s="101"/>
      <c r="J474" s="101"/>
      <c r="S474" s="101"/>
      <c r="T474" s="241"/>
      <c r="U474" s="241"/>
      <c r="V474" s="241"/>
      <c r="W474" s="241"/>
      <c r="X474" s="241"/>
      <c r="Y474" s="241"/>
      <c r="Z474" s="241"/>
    </row>
    <row r="475" spans="3:26" ht="16.5">
      <c r="C475" s="101"/>
      <c r="D475" s="101"/>
      <c r="E475" s="101"/>
      <c r="F475" s="101"/>
      <c r="G475" s="101"/>
      <c r="H475" s="101"/>
      <c r="I475" s="101"/>
      <c r="J475" s="101"/>
      <c r="S475" s="101"/>
      <c r="T475" s="241"/>
      <c r="U475" s="241"/>
      <c r="V475" s="241"/>
      <c r="W475" s="241"/>
      <c r="X475" s="241"/>
      <c r="Y475" s="241"/>
      <c r="Z475" s="241"/>
    </row>
    <row r="476" spans="3:26" ht="16.5">
      <c r="C476" s="101"/>
      <c r="D476" s="101"/>
      <c r="E476" s="101"/>
      <c r="F476" s="101"/>
      <c r="G476" s="101"/>
      <c r="H476" s="101"/>
      <c r="I476" s="101"/>
      <c r="J476" s="101"/>
      <c r="S476" s="101"/>
      <c r="T476" s="241"/>
      <c r="U476" s="241"/>
      <c r="V476" s="241"/>
      <c r="W476" s="241"/>
      <c r="X476" s="241"/>
      <c r="Y476" s="241"/>
      <c r="Z476" s="241"/>
    </row>
    <row r="477" spans="3:26" ht="16.5">
      <c r="C477" s="101"/>
      <c r="D477" s="101"/>
      <c r="E477" s="101"/>
      <c r="F477" s="101"/>
      <c r="G477" s="101"/>
      <c r="H477" s="101"/>
      <c r="I477" s="101"/>
      <c r="J477" s="101"/>
      <c r="S477" s="101"/>
      <c r="T477" s="241"/>
      <c r="U477" s="241"/>
      <c r="V477" s="241"/>
      <c r="W477" s="241"/>
      <c r="X477" s="241"/>
      <c r="Y477" s="241"/>
      <c r="Z477" s="241"/>
    </row>
    <row r="478" spans="3:26" ht="16.5">
      <c r="C478" s="101"/>
      <c r="D478" s="101"/>
      <c r="E478" s="101"/>
      <c r="F478" s="101"/>
      <c r="G478" s="101"/>
      <c r="H478" s="101"/>
      <c r="I478" s="101"/>
      <c r="J478" s="101"/>
      <c r="S478" s="101"/>
      <c r="T478" s="241"/>
      <c r="U478" s="241"/>
      <c r="V478" s="241"/>
      <c r="W478" s="241"/>
      <c r="X478" s="241"/>
      <c r="Y478" s="241"/>
      <c r="Z478" s="241"/>
    </row>
    <row r="479" spans="3:26" ht="16.5">
      <c r="C479" s="101"/>
      <c r="D479" s="101"/>
      <c r="E479" s="101"/>
      <c r="F479" s="101"/>
      <c r="G479" s="101"/>
      <c r="H479" s="101"/>
      <c r="I479" s="101"/>
      <c r="J479" s="101"/>
      <c r="S479" s="101"/>
      <c r="T479" s="241"/>
      <c r="U479" s="241"/>
      <c r="V479" s="241"/>
      <c r="W479" s="241"/>
      <c r="X479" s="241"/>
      <c r="Y479" s="241"/>
      <c r="Z479" s="241"/>
    </row>
    <row r="480" spans="3:26" ht="16.5">
      <c r="C480" s="101"/>
      <c r="D480" s="101"/>
      <c r="E480" s="101"/>
      <c r="F480" s="101"/>
      <c r="G480" s="101"/>
      <c r="H480" s="101"/>
      <c r="I480" s="101"/>
      <c r="J480" s="101"/>
      <c r="S480" s="101"/>
      <c r="T480" s="241"/>
      <c r="U480" s="241"/>
      <c r="V480" s="241"/>
      <c r="W480" s="241"/>
      <c r="X480" s="241"/>
      <c r="Y480" s="241"/>
      <c r="Z480" s="241"/>
    </row>
    <row r="481" spans="3:26" ht="16.5">
      <c r="C481" s="101"/>
      <c r="D481" s="101"/>
      <c r="E481" s="101"/>
      <c r="F481" s="101"/>
      <c r="G481" s="101"/>
      <c r="H481" s="101"/>
      <c r="I481" s="101"/>
      <c r="J481" s="101"/>
      <c r="S481" s="101"/>
      <c r="T481" s="241"/>
      <c r="U481" s="241"/>
      <c r="V481" s="241"/>
      <c r="W481" s="241"/>
      <c r="X481" s="241"/>
      <c r="Y481" s="241"/>
      <c r="Z481" s="241"/>
    </row>
    <row r="482" spans="3:26" ht="16.5">
      <c r="C482" s="101"/>
      <c r="D482" s="101"/>
      <c r="E482" s="101"/>
      <c r="F482" s="101"/>
      <c r="G482" s="101"/>
      <c r="H482" s="101"/>
      <c r="I482" s="101"/>
      <c r="J482" s="101"/>
      <c r="S482" s="101"/>
      <c r="T482" s="241"/>
      <c r="U482" s="241"/>
      <c r="V482" s="241"/>
      <c r="W482" s="241"/>
      <c r="X482" s="241"/>
      <c r="Y482" s="241"/>
      <c r="Z482" s="241"/>
    </row>
    <row r="483" spans="3:26" ht="16.5">
      <c r="C483" s="101"/>
      <c r="D483" s="101"/>
      <c r="E483" s="101"/>
      <c r="F483" s="101"/>
      <c r="G483" s="101"/>
      <c r="H483" s="101"/>
      <c r="I483" s="101"/>
      <c r="J483" s="101"/>
      <c r="S483" s="101"/>
      <c r="T483" s="241"/>
      <c r="U483" s="241"/>
      <c r="V483" s="241"/>
      <c r="W483" s="241"/>
      <c r="X483" s="241"/>
      <c r="Y483" s="241"/>
      <c r="Z483" s="241"/>
    </row>
    <row r="484" spans="3:26" ht="16.5">
      <c r="C484" s="101"/>
      <c r="D484" s="101"/>
      <c r="E484" s="101"/>
      <c r="F484" s="101"/>
      <c r="G484" s="101"/>
      <c r="H484" s="101"/>
      <c r="I484" s="101"/>
      <c r="J484" s="101"/>
      <c r="S484" s="101"/>
      <c r="T484" s="241"/>
      <c r="U484" s="241"/>
      <c r="V484" s="241"/>
      <c r="W484" s="241"/>
      <c r="X484" s="241"/>
      <c r="Y484" s="241"/>
      <c r="Z484" s="241"/>
    </row>
    <row r="485" spans="3:26" ht="16.5">
      <c r="C485" s="101"/>
      <c r="D485" s="101"/>
      <c r="E485" s="101"/>
      <c r="F485" s="101"/>
      <c r="G485" s="101"/>
      <c r="H485" s="101"/>
      <c r="I485" s="101"/>
      <c r="J485" s="101"/>
      <c r="S485" s="101"/>
      <c r="T485" s="241"/>
      <c r="U485" s="241"/>
      <c r="V485" s="241"/>
      <c r="W485" s="241"/>
      <c r="X485" s="241"/>
      <c r="Y485" s="241"/>
      <c r="Z485" s="241"/>
    </row>
    <row r="486" spans="3:26" ht="16.5">
      <c r="C486" s="101"/>
      <c r="D486" s="101"/>
      <c r="E486" s="101"/>
      <c r="F486" s="101"/>
      <c r="G486" s="101"/>
      <c r="H486" s="101"/>
      <c r="I486" s="101"/>
      <c r="J486" s="101"/>
      <c r="S486" s="101"/>
      <c r="T486" s="241"/>
      <c r="U486" s="241"/>
      <c r="V486" s="241"/>
      <c r="W486" s="241"/>
      <c r="X486" s="241"/>
      <c r="Y486" s="241"/>
      <c r="Z486" s="241"/>
    </row>
    <row r="487" spans="3:26" ht="16.5">
      <c r="C487" s="101"/>
      <c r="D487" s="101"/>
      <c r="E487" s="101"/>
      <c r="F487" s="101"/>
      <c r="G487" s="101"/>
      <c r="H487" s="101"/>
      <c r="I487" s="101"/>
      <c r="J487" s="101"/>
      <c r="S487" s="101"/>
      <c r="T487" s="241"/>
      <c r="U487" s="241"/>
      <c r="V487" s="241"/>
      <c r="W487" s="241"/>
      <c r="X487" s="241"/>
      <c r="Y487" s="241"/>
      <c r="Z487" s="241"/>
    </row>
    <row r="488" spans="3:26" ht="16.5">
      <c r="C488" s="101"/>
      <c r="D488" s="101"/>
      <c r="E488" s="101"/>
      <c r="F488" s="101"/>
      <c r="G488" s="101"/>
      <c r="H488" s="101"/>
      <c r="I488" s="101"/>
      <c r="J488" s="101"/>
      <c r="S488" s="101"/>
      <c r="T488" s="241"/>
      <c r="U488" s="241"/>
      <c r="V488" s="241"/>
      <c r="W488" s="241"/>
      <c r="X488" s="241"/>
      <c r="Y488" s="241"/>
      <c r="Z488" s="241"/>
    </row>
    <row r="489" spans="3:26" ht="16.5">
      <c r="C489" s="101"/>
      <c r="D489" s="101"/>
      <c r="E489" s="101"/>
      <c r="F489" s="101"/>
      <c r="G489" s="101"/>
      <c r="H489" s="101"/>
      <c r="I489" s="101"/>
      <c r="J489" s="101"/>
      <c r="S489" s="101"/>
      <c r="T489" s="241"/>
      <c r="U489" s="241"/>
      <c r="V489" s="241"/>
      <c r="W489" s="241"/>
      <c r="X489" s="241"/>
      <c r="Y489" s="241"/>
      <c r="Z489" s="241"/>
    </row>
    <row r="490" spans="3:26" ht="16.5">
      <c r="C490" s="101"/>
      <c r="D490" s="101"/>
      <c r="E490" s="101"/>
      <c r="F490" s="101"/>
      <c r="G490" s="101"/>
      <c r="H490" s="101"/>
      <c r="I490" s="101"/>
      <c r="J490" s="101"/>
      <c r="S490" s="101"/>
      <c r="T490" s="241"/>
      <c r="U490" s="241"/>
      <c r="V490" s="241"/>
      <c r="W490" s="241"/>
      <c r="X490" s="241"/>
      <c r="Y490" s="241"/>
      <c r="Z490" s="241"/>
    </row>
    <row r="491" spans="3:26" ht="16.5">
      <c r="C491" s="101"/>
      <c r="D491" s="101"/>
      <c r="E491" s="101"/>
      <c r="F491" s="101"/>
      <c r="G491" s="101"/>
      <c r="H491" s="101"/>
      <c r="I491" s="101"/>
      <c r="J491" s="101"/>
      <c r="S491" s="101"/>
      <c r="T491" s="241"/>
      <c r="U491" s="241"/>
      <c r="V491" s="241"/>
      <c r="W491" s="241"/>
      <c r="X491" s="241"/>
      <c r="Y491" s="241"/>
      <c r="Z491" s="241"/>
    </row>
    <row r="492" spans="3:26" ht="16.5">
      <c r="C492" s="101"/>
      <c r="D492" s="101"/>
      <c r="E492" s="101"/>
      <c r="F492" s="101"/>
      <c r="G492" s="101"/>
      <c r="H492" s="101"/>
      <c r="I492" s="101"/>
      <c r="J492" s="101"/>
      <c r="S492" s="101"/>
      <c r="T492" s="241"/>
      <c r="U492" s="241"/>
      <c r="V492" s="241"/>
      <c r="W492" s="241"/>
      <c r="X492" s="241"/>
      <c r="Y492" s="241"/>
      <c r="Z492" s="241"/>
    </row>
    <row r="493" spans="3:26" ht="16.5">
      <c r="C493" s="101"/>
      <c r="D493" s="101"/>
      <c r="E493" s="101"/>
      <c r="F493" s="101"/>
      <c r="G493" s="101"/>
      <c r="H493" s="101"/>
      <c r="I493" s="101"/>
      <c r="J493" s="101"/>
      <c r="S493" s="101"/>
      <c r="T493" s="241"/>
      <c r="U493" s="241"/>
      <c r="V493" s="241"/>
      <c r="W493" s="241"/>
      <c r="X493" s="241"/>
      <c r="Y493" s="241"/>
      <c r="Z493" s="241"/>
    </row>
    <row r="494" spans="3:26" ht="16.5">
      <c r="C494" s="101"/>
      <c r="D494" s="101"/>
      <c r="E494" s="101"/>
      <c r="F494" s="101"/>
      <c r="G494" s="101"/>
      <c r="H494" s="101"/>
      <c r="I494" s="101"/>
      <c r="J494" s="101"/>
      <c r="S494" s="101"/>
      <c r="T494" s="241"/>
      <c r="U494" s="241"/>
      <c r="V494" s="241"/>
      <c r="W494" s="241"/>
      <c r="X494" s="241"/>
      <c r="Y494" s="241"/>
      <c r="Z494" s="241"/>
    </row>
    <row r="495" spans="3:26" ht="16.5">
      <c r="C495" s="101"/>
      <c r="D495" s="101"/>
      <c r="E495" s="101"/>
      <c r="F495" s="101"/>
      <c r="G495" s="101"/>
      <c r="H495" s="101"/>
      <c r="I495" s="101"/>
      <c r="J495" s="101"/>
      <c r="S495" s="101"/>
      <c r="T495" s="241"/>
      <c r="U495" s="241"/>
      <c r="V495" s="241"/>
      <c r="W495" s="241"/>
      <c r="X495" s="241"/>
      <c r="Y495" s="241"/>
      <c r="Z495" s="241"/>
    </row>
    <row r="496" spans="3:26" ht="16.5">
      <c r="C496" s="101"/>
      <c r="D496" s="101"/>
      <c r="E496" s="101"/>
      <c r="F496" s="101"/>
      <c r="G496" s="101"/>
      <c r="H496" s="101"/>
      <c r="I496" s="101"/>
      <c r="J496" s="101"/>
      <c r="S496" s="101"/>
      <c r="T496" s="241"/>
      <c r="U496" s="241"/>
      <c r="V496" s="241"/>
      <c r="W496" s="241"/>
      <c r="X496" s="241"/>
      <c r="Y496" s="241"/>
      <c r="Z496" s="241"/>
    </row>
    <row r="497" spans="3:26" ht="16.5">
      <c r="C497" s="101"/>
      <c r="D497" s="101"/>
      <c r="E497" s="101"/>
      <c r="F497" s="101"/>
      <c r="G497" s="101"/>
      <c r="H497" s="101"/>
      <c r="I497" s="101"/>
      <c r="J497" s="101"/>
      <c r="S497" s="101"/>
      <c r="T497" s="241"/>
      <c r="U497" s="241"/>
      <c r="V497" s="241"/>
      <c r="W497" s="241"/>
      <c r="X497" s="241"/>
      <c r="Y497" s="241"/>
      <c r="Z497" s="241"/>
    </row>
    <row r="498" spans="3:26" ht="16.5">
      <c r="C498" s="101"/>
      <c r="D498" s="101"/>
      <c r="E498" s="101"/>
      <c r="F498" s="101"/>
      <c r="G498" s="101"/>
      <c r="H498" s="101"/>
      <c r="I498" s="101"/>
      <c r="J498" s="101"/>
      <c r="S498" s="101"/>
      <c r="T498" s="241"/>
      <c r="U498" s="241"/>
      <c r="V498" s="241"/>
      <c r="W498" s="241"/>
      <c r="X498" s="241"/>
      <c r="Y498" s="241"/>
      <c r="Z498" s="241"/>
    </row>
    <row r="499" spans="3:26" ht="16.5">
      <c r="C499" s="101"/>
      <c r="D499" s="101"/>
      <c r="E499" s="101"/>
      <c r="F499" s="101"/>
      <c r="G499" s="101"/>
      <c r="H499" s="101"/>
      <c r="I499" s="101"/>
      <c r="J499" s="101"/>
      <c r="S499" s="101"/>
      <c r="T499" s="241"/>
      <c r="U499" s="241"/>
      <c r="V499" s="241"/>
      <c r="W499" s="241"/>
      <c r="X499" s="241"/>
      <c r="Y499" s="241"/>
      <c r="Z499" s="241"/>
    </row>
    <row r="500" spans="3:26" ht="16.5">
      <c r="C500" s="101"/>
      <c r="D500" s="101"/>
      <c r="E500" s="101"/>
      <c r="F500" s="101"/>
      <c r="G500" s="101"/>
      <c r="H500" s="101"/>
      <c r="I500" s="101"/>
      <c r="J500" s="101"/>
      <c r="S500" s="101"/>
      <c r="T500" s="241"/>
      <c r="U500" s="241"/>
      <c r="V500" s="241"/>
      <c r="W500" s="241"/>
      <c r="X500" s="241"/>
      <c r="Y500" s="241"/>
      <c r="Z500" s="241"/>
    </row>
    <row r="501" spans="3:26" ht="16.5">
      <c r="C501" s="101"/>
      <c r="D501" s="101"/>
      <c r="E501" s="101"/>
      <c r="F501" s="101"/>
      <c r="G501" s="101"/>
      <c r="H501" s="101"/>
      <c r="I501" s="101"/>
      <c r="J501" s="101"/>
      <c r="S501" s="101"/>
      <c r="T501" s="241"/>
      <c r="U501" s="241"/>
      <c r="V501" s="241"/>
      <c r="W501" s="241"/>
      <c r="X501" s="241"/>
      <c r="Y501" s="241"/>
      <c r="Z501" s="241"/>
    </row>
    <row r="502" spans="3:26" ht="16.5">
      <c r="C502" s="101"/>
      <c r="D502" s="101"/>
      <c r="E502" s="101"/>
      <c r="F502" s="101"/>
      <c r="G502" s="101"/>
      <c r="H502" s="101"/>
      <c r="I502" s="101"/>
      <c r="J502" s="101"/>
      <c r="S502" s="101"/>
      <c r="T502" s="241"/>
      <c r="U502" s="241"/>
      <c r="V502" s="241"/>
      <c r="W502" s="241"/>
      <c r="X502" s="241"/>
      <c r="Y502" s="241"/>
      <c r="Z502" s="241"/>
    </row>
    <row r="503" spans="3:26" ht="16.5">
      <c r="C503" s="101"/>
      <c r="D503" s="101"/>
      <c r="E503" s="101"/>
      <c r="F503" s="101"/>
      <c r="G503" s="101"/>
      <c r="H503" s="101"/>
      <c r="I503" s="101"/>
      <c r="J503" s="101"/>
      <c r="S503" s="101"/>
      <c r="T503" s="241"/>
      <c r="U503" s="241"/>
      <c r="V503" s="241"/>
      <c r="W503" s="241"/>
      <c r="X503" s="241"/>
      <c r="Y503" s="241"/>
      <c r="Z503" s="241"/>
    </row>
    <row r="504" spans="3:26" ht="16.5">
      <c r="C504" s="101"/>
      <c r="D504" s="101"/>
      <c r="E504" s="101"/>
      <c r="F504" s="101"/>
      <c r="G504" s="101"/>
      <c r="H504" s="101"/>
      <c r="I504" s="101"/>
      <c r="J504" s="101"/>
      <c r="S504" s="101"/>
      <c r="T504" s="241"/>
      <c r="U504" s="241"/>
      <c r="V504" s="241"/>
      <c r="W504" s="241"/>
      <c r="X504" s="241"/>
      <c r="Y504" s="241"/>
      <c r="Z504" s="241"/>
    </row>
    <row r="505" spans="3:26" ht="16.5">
      <c r="C505" s="101"/>
      <c r="D505" s="101"/>
      <c r="E505" s="101"/>
      <c r="F505" s="101"/>
      <c r="G505" s="101"/>
      <c r="H505" s="101"/>
      <c r="I505" s="101"/>
      <c r="J505" s="101"/>
      <c r="S505" s="101"/>
      <c r="T505" s="241"/>
      <c r="U505" s="241"/>
      <c r="V505" s="241"/>
      <c r="W505" s="241"/>
      <c r="X505" s="241"/>
      <c r="Y505" s="241"/>
      <c r="Z505" s="241"/>
    </row>
    <row r="506" spans="3:26" ht="16.5">
      <c r="C506" s="101"/>
      <c r="D506" s="101"/>
      <c r="E506" s="101"/>
      <c r="F506" s="101"/>
      <c r="G506" s="101"/>
      <c r="H506" s="101"/>
      <c r="I506" s="101"/>
      <c r="J506" s="101"/>
      <c r="S506" s="101"/>
      <c r="T506" s="241"/>
      <c r="U506" s="241"/>
      <c r="V506" s="241"/>
      <c r="W506" s="241"/>
      <c r="X506" s="241"/>
      <c r="Y506" s="241"/>
      <c r="Z506" s="241"/>
    </row>
    <row r="507" spans="3:26" ht="16.5">
      <c r="C507" s="101"/>
      <c r="D507" s="101"/>
      <c r="E507" s="101"/>
      <c r="F507" s="101"/>
      <c r="G507" s="101"/>
      <c r="H507" s="101"/>
      <c r="I507" s="101"/>
      <c r="J507" s="101"/>
      <c r="S507" s="101"/>
      <c r="T507" s="241"/>
      <c r="U507" s="241"/>
      <c r="V507" s="241"/>
      <c r="W507" s="241"/>
      <c r="X507" s="241"/>
      <c r="Y507" s="241"/>
      <c r="Z507" s="241"/>
    </row>
    <row r="508" spans="3:26" ht="16.5">
      <c r="C508" s="101"/>
      <c r="D508" s="101"/>
      <c r="E508" s="101"/>
      <c r="F508" s="101"/>
      <c r="G508" s="101"/>
      <c r="H508" s="101"/>
      <c r="I508" s="101"/>
      <c r="J508" s="101"/>
      <c r="S508" s="101"/>
      <c r="T508" s="241"/>
      <c r="U508" s="241"/>
      <c r="V508" s="241"/>
      <c r="W508" s="241"/>
      <c r="X508" s="241"/>
      <c r="Y508" s="241"/>
      <c r="Z508" s="241"/>
    </row>
    <row r="509" spans="3:26" ht="16.5">
      <c r="C509" s="101"/>
      <c r="D509" s="101"/>
      <c r="E509" s="101"/>
      <c r="F509" s="101"/>
      <c r="G509" s="101"/>
      <c r="H509" s="101"/>
      <c r="I509" s="101"/>
      <c r="J509" s="101"/>
      <c r="S509" s="101"/>
      <c r="T509" s="241"/>
      <c r="U509" s="241"/>
      <c r="V509" s="241"/>
      <c r="W509" s="241"/>
      <c r="X509" s="241"/>
      <c r="Y509" s="241"/>
      <c r="Z509" s="241"/>
    </row>
    <row r="510" spans="3:26" ht="16.5">
      <c r="C510" s="101"/>
      <c r="D510" s="101"/>
      <c r="E510" s="101"/>
      <c r="F510" s="101"/>
      <c r="G510" s="101"/>
      <c r="H510" s="101"/>
      <c r="I510" s="101"/>
      <c r="J510" s="101"/>
      <c r="S510" s="101"/>
      <c r="T510" s="241"/>
      <c r="U510" s="241"/>
      <c r="V510" s="241"/>
      <c r="W510" s="241"/>
      <c r="X510" s="241"/>
      <c r="Y510" s="241"/>
      <c r="Z510" s="241"/>
    </row>
    <row r="511" spans="3:26" ht="16.5">
      <c r="C511" s="101"/>
      <c r="D511" s="101"/>
      <c r="E511" s="101"/>
      <c r="F511" s="101"/>
      <c r="G511" s="101"/>
      <c r="H511" s="101"/>
      <c r="I511" s="101"/>
      <c r="J511" s="101"/>
      <c r="S511" s="101"/>
      <c r="T511" s="241"/>
      <c r="U511" s="241"/>
      <c r="V511" s="241"/>
      <c r="W511" s="241"/>
      <c r="X511" s="241"/>
      <c r="Y511" s="241"/>
      <c r="Z511" s="241"/>
    </row>
    <row r="512" spans="3:26" ht="16.5">
      <c r="C512" s="101"/>
      <c r="D512" s="101"/>
      <c r="E512" s="101"/>
      <c r="F512" s="101"/>
      <c r="G512" s="101"/>
      <c r="H512" s="101"/>
      <c r="I512" s="101"/>
      <c r="J512" s="101"/>
      <c r="S512" s="101"/>
      <c r="T512" s="241"/>
      <c r="U512" s="241"/>
      <c r="V512" s="241"/>
      <c r="W512" s="241"/>
      <c r="X512" s="241"/>
      <c r="Y512" s="241"/>
      <c r="Z512" s="241"/>
    </row>
    <row r="513" spans="3:26" ht="16.5">
      <c r="C513" s="101"/>
      <c r="D513" s="101"/>
      <c r="E513" s="101"/>
      <c r="F513" s="101"/>
      <c r="G513" s="101"/>
      <c r="H513" s="101"/>
      <c r="I513" s="101"/>
      <c r="J513" s="101"/>
      <c r="S513" s="101"/>
      <c r="T513" s="241"/>
      <c r="U513" s="241"/>
      <c r="V513" s="241"/>
      <c r="W513" s="241"/>
      <c r="X513" s="241"/>
      <c r="Y513" s="241"/>
      <c r="Z513" s="241"/>
    </row>
    <row r="514" spans="3:26" ht="16.5">
      <c r="C514" s="101"/>
      <c r="D514" s="101"/>
      <c r="E514" s="101"/>
      <c r="F514" s="101"/>
      <c r="G514" s="101"/>
      <c r="H514" s="101"/>
      <c r="I514" s="101"/>
      <c r="J514" s="101"/>
      <c r="S514" s="101"/>
      <c r="T514" s="241"/>
      <c r="U514" s="241"/>
      <c r="V514" s="241"/>
      <c r="W514" s="241"/>
      <c r="X514" s="241"/>
      <c r="Y514" s="241"/>
      <c r="Z514" s="241"/>
    </row>
    <row r="515" spans="3:26" ht="16.5">
      <c r="C515" s="101"/>
      <c r="D515" s="101"/>
      <c r="E515" s="101"/>
      <c r="F515" s="101"/>
      <c r="G515" s="101"/>
      <c r="H515" s="101"/>
      <c r="I515" s="101"/>
      <c r="J515" s="101"/>
      <c r="S515" s="101"/>
      <c r="T515" s="241"/>
      <c r="U515" s="241"/>
      <c r="V515" s="241"/>
      <c r="W515" s="241"/>
      <c r="X515" s="241"/>
      <c r="Y515" s="241"/>
      <c r="Z515" s="241"/>
    </row>
    <row r="516" spans="3:26" ht="16.5">
      <c r="C516" s="101"/>
      <c r="D516" s="101"/>
      <c r="E516" s="101"/>
      <c r="F516" s="101"/>
      <c r="G516" s="101"/>
      <c r="H516" s="101"/>
      <c r="I516" s="101"/>
      <c r="J516" s="101"/>
      <c r="S516" s="101"/>
      <c r="T516" s="241"/>
      <c r="U516" s="241"/>
      <c r="V516" s="241"/>
      <c r="W516" s="241"/>
      <c r="X516" s="241"/>
      <c r="Y516" s="241"/>
      <c r="Z516" s="241"/>
    </row>
    <row r="517" spans="3:26" ht="16.5">
      <c r="C517" s="101"/>
      <c r="D517" s="101"/>
      <c r="E517" s="101"/>
      <c r="F517" s="101"/>
      <c r="G517" s="101"/>
      <c r="H517" s="101"/>
      <c r="I517" s="101"/>
      <c r="J517" s="101"/>
      <c r="S517" s="101"/>
      <c r="T517" s="241"/>
      <c r="U517" s="241"/>
      <c r="V517" s="241"/>
      <c r="W517" s="241"/>
      <c r="X517" s="241"/>
      <c r="Y517" s="241"/>
      <c r="Z517" s="241"/>
    </row>
    <row r="518" spans="3:26" ht="16.5">
      <c r="C518" s="101"/>
      <c r="D518" s="101"/>
      <c r="E518" s="101"/>
      <c r="F518" s="101"/>
      <c r="G518" s="101"/>
      <c r="H518" s="101"/>
      <c r="I518" s="101"/>
      <c r="J518" s="101"/>
      <c r="S518" s="101"/>
      <c r="T518" s="241"/>
      <c r="U518" s="241"/>
      <c r="V518" s="241"/>
      <c r="W518" s="241"/>
      <c r="X518" s="241"/>
      <c r="Y518" s="241"/>
      <c r="Z518" s="241"/>
    </row>
    <row r="519" spans="3:26" ht="16.5">
      <c r="C519" s="101"/>
      <c r="D519" s="101"/>
      <c r="E519" s="101"/>
      <c r="F519" s="101"/>
      <c r="G519" s="101"/>
      <c r="H519" s="101"/>
      <c r="I519" s="101"/>
      <c r="J519" s="101"/>
      <c r="S519" s="101"/>
      <c r="T519" s="241"/>
      <c r="U519" s="241"/>
      <c r="V519" s="241"/>
      <c r="W519" s="241"/>
      <c r="X519" s="241"/>
      <c r="Y519" s="241"/>
      <c r="Z519" s="241"/>
    </row>
    <row r="520" spans="3:26" ht="16.5">
      <c r="C520" s="101"/>
      <c r="D520" s="101"/>
      <c r="E520" s="101"/>
      <c r="F520" s="101"/>
      <c r="G520" s="101"/>
      <c r="H520" s="101"/>
      <c r="I520" s="101"/>
      <c r="J520" s="101"/>
      <c r="S520" s="101"/>
      <c r="T520" s="241"/>
      <c r="U520" s="241"/>
      <c r="V520" s="241"/>
      <c r="W520" s="241"/>
      <c r="X520" s="241"/>
      <c r="Y520" s="241"/>
      <c r="Z520" s="241"/>
    </row>
    <row r="521" spans="3:26" ht="16.5">
      <c r="C521" s="101"/>
      <c r="D521" s="101"/>
      <c r="E521" s="101"/>
      <c r="F521" s="101"/>
      <c r="G521" s="101"/>
      <c r="H521" s="101"/>
      <c r="I521" s="101"/>
      <c r="J521" s="101"/>
      <c r="S521" s="101"/>
      <c r="T521" s="241"/>
      <c r="U521" s="241"/>
      <c r="V521" s="241"/>
      <c r="W521" s="241"/>
      <c r="X521" s="241"/>
      <c r="Y521" s="241"/>
      <c r="Z521" s="241"/>
    </row>
    <row r="522" spans="3:26" ht="16.5">
      <c r="C522" s="101"/>
      <c r="D522" s="101"/>
      <c r="E522" s="101"/>
      <c r="F522" s="101"/>
      <c r="G522" s="101"/>
      <c r="H522" s="101"/>
      <c r="I522" s="101"/>
      <c r="J522" s="101"/>
      <c r="S522" s="101"/>
      <c r="T522" s="241"/>
      <c r="U522" s="241"/>
      <c r="V522" s="241"/>
      <c r="W522" s="241"/>
      <c r="X522" s="241"/>
      <c r="Y522" s="241"/>
      <c r="Z522" s="241"/>
    </row>
    <row r="523" spans="3:26" ht="16.5">
      <c r="C523" s="101"/>
      <c r="D523" s="101"/>
      <c r="E523" s="101"/>
      <c r="F523" s="101"/>
      <c r="G523" s="101"/>
      <c r="H523" s="101"/>
      <c r="I523" s="101"/>
      <c r="J523" s="101"/>
      <c r="S523" s="101"/>
      <c r="T523" s="241"/>
      <c r="U523" s="241"/>
      <c r="V523" s="241"/>
      <c r="W523" s="241"/>
      <c r="X523" s="241"/>
      <c r="Y523" s="241"/>
      <c r="Z523" s="241"/>
    </row>
    <row r="524" spans="3:26" ht="16.5">
      <c r="C524" s="101"/>
      <c r="D524" s="101"/>
      <c r="E524" s="101"/>
      <c r="F524" s="101"/>
      <c r="G524" s="101"/>
      <c r="H524" s="101"/>
      <c r="I524" s="101"/>
      <c r="J524" s="101"/>
      <c r="S524" s="101"/>
      <c r="T524" s="241"/>
      <c r="U524" s="241"/>
      <c r="V524" s="241"/>
      <c r="W524" s="241"/>
      <c r="X524" s="241"/>
      <c r="Y524" s="241"/>
      <c r="Z524" s="241"/>
    </row>
    <row r="525" spans="3:26" ht="16.5">
      <c r="C525" s="101"/>
      <c r="D525" s="101"/>
      <c r="E525" s="101"/>
      <c r="F525" s="101"/>
      <c r="G525" s="101"/>
      <c r="H525" s="101"/>
      <c r="I525" s="101"/>
      <c r="J525" s="101"/>
      <c r="S525" s="101"/>
      <c r="T525" s="241"/>
      <c r="U525" s="241"/>
      <c r="V525" s="241"/>
      <c r="W525" s="241"/>
      <c r="X525" s="241"/>
      <c r="Y525" s="241"/>
      <c r="Z525" s="241"/>
    </row>
    <row r="526" spans="3:26" ht="16.5">
      <c r="C526" s="101"/>
      <c r="D526" s="101"/>
      <c r="E526" s="101"/>
      <c r="F526" s="101"/>
      <c r="G526" s="101"/>
      <c r="H526" s="101"/>
      <c r="I526" s="101"/>
      <c r="J526" s="101"/>
      <c r="S526" s="101"/>
      <c r="T526" s="241"/>
      <c r="U526" s="241"/>
      <c r="V526" s="241"/>
      <c r="W526" s="241"/>
      <c r="X526" s="241"/>
      <c r="Y526" s="241"/>
      <c r="Z526" s="241"/>
    </row>
    <row r="527" spans="3:26" ht="16.5">
      <c r="C527" s="101"/>
      <c r="D527" s="101"/>
      <c r="E527" s="101"/>
      <c r="F527" s="101"/>
      <c r="G527" s="101"/>
      <c r="H527" s="101"/>
      <c r="I527" s="101"/>
      <c r="J527" s="101"/>
      <c r="S527" s="101"/>
      <c r="T527" s="241"/>
      <c r="U527" s="241"/>
      <c r="V527" s="241"/>
      <c r="W527" s="241"/>
      <c r="X527" s="241"/>
      <c r="Y527" s="241"/>
      <c r="Z527" s="241"/>
    </row>
    <row r="528" spans="3:26" ht="16.5">
      <c r="C528" s="101"/>
      <c r="D528" s="101"/>
      <c r="E528" s="101"/>
      <c r="F528" s="101"/>
      <c r="G528" s="101"/>
      <c r="H528" s="101"/>
      <c r="I528" s="101"/>
      <c r="J528" s="101"/>
      <c r="S528" s="101"/>
      <c r="T528" s="241"/>
      <c r="U528" s="241"/>
      <c r="V528" s="241"/>
      <c r="W528" s="241"/>
      <c r="X528" s="241"/>
      <c r="Y528" s="241"/>
      <c r="Z528" s="241"/>
    </row>
    <row r="529" spans="3:26" ht="16.5">
      <c r="C529" s="101"/>
      <c r="D529" s="101"/>
      <c r="E529" s="101"/>
      <c r="F529" s="101"/>
      <c r="G529" s="101"/>
      <c r="H529" s="101"/>
      <c r="I529" s="101"/>
      <c r="J529" s="101"/>
      <c r="S529" s="101"/>
      <c r="T529" s="241"/>
      <c r="U529" s="241"/>
      <c r="V529" s="241"/>
      <c r="W529" s="241"/>
      <c r="X529" s="241"/>
      <c r="Y529" s="241"/>
      <c r="Z529" s="241"/>
    </row>
    <row r="530" spans="3:26" ht="16.5">
      <c r="C530" s="101"/>
      <c r="D530" s="101"/>
      <c r="E530" s="101"/>
      <c r="F530" s="101"/>
      <c r="G530" s="101"/>
      <c r="H530" s="101"/>
      <c r="I530" s="101"/>
      <c r="J530" s="101"/>
      <c r="S530" s="101"/>
      <c r="T530" s="241"/>
      <c r="U530" s="241"/>
      <c r="V530" s="241"/>
      <c r="W530" s="241"/>
      <c r="X530" s="241"/>
      <c r="Y530" s="241"/>
      <c r="Z530" s="241"/>
    </row>
    <row r="531" spans="3:26" ht="16.5">
      <c r="C531" s="101"/>
      <c r="D531" s="101"/>
      <c r="E531" s="101"/>
      <c r="F531" s="101"/>
      <c r="G531" s="101"/>
      <c r="H531" s="101"/>
      <c r="I531" s="101"/>
      <c r="J531" s="101"/>
      <c r="S531" s="101"/>
      <c r="T531" s="241"/>
      <c r="U531" s="241"/>
      <c r="V531" s="241"/>
      <c r="W531" s="241"/>
      <c r="X531" s="241"/>
      <c r="Y531" s="241"/>
      <c r="Z531" s="241"/>
    </row>
    <row r="532" spans="3:26" ht="16.5">
      <c r="C532" s="101"/>
      <c r="D532" s="101"/>
      <c r="E532" s="101"/>
      <c r="F532" s="101"/>
      <c r="G532" s="101"/>
      <c r="H532" s="101"/>
      <c r="I532" s="101"/>
      <c r="J532" s="101"/>
      <c r="S532" s="101"/>
      <c r="T532" s="241"/>
      <c r="U532" s="241"/>
      <c r="V532" s="241"/>
      <c r="W532" s="241"/>
      <c r="X532" s="241"/>
      <c r="Y532" s="241"/>
      <c r="Z532" s="241"/>
    </row>
    <row r="533" spans="3:26" ht="16.5">
      <c r="C533" s="101"/>
      <c r="D533" s="101"/>
      <c r="E533" s="101"/>
      <c r="F533" s="101"/>
      <c r="G533" s="101"/>
      <c r="H533" s="101"/>
      <c r="I533" s="101"/>
      <c r="J533" s="101"/>
      <c r="S533" s="101"/>
      <c r="T533" s="241"/>
      <c r="U533" s="241"/>
      <c r="V533" s="241"/>
      <c r="W533" s="241"/>
      <c r="X533" s="241"/>
      <c r="Y533" s="241"/>
      <c r="Z533" s="241"/>
    </row>
    <row r="534" spans="3:26" ht="16.5">
      <c r="C534" s="101"/>
      <c r="D534" s="101"/>
      <c r="E534" s="101"/>
      <c r="F534" s="101"/>
      <c r="G534" s="101"/>
      <c r="H534" s="101"/>
      <c r="I534" s="101"/>
      <c r="J534" s="101"/>
      <c r="S534" s="101"/>
      <c r="T534" s="241"/>
      <c r="U534" s="241"/>
      <c r="V534" s="241"/>
      <c r="W534" s="241"/>
      <c r="X534" s="241"/>
      <c r="Y534" s="241"/>
      <c r="Z534" s="241"/>
    </row>
    <row r="535" spans="3:26" ht="16.5">
      <c r="C535" s="101"/>
      <c r="D535" s="101"/>
      <c r="E535" s="101"/>
      <c r="F535" s="101"/>
      <c r="G535" s="101"/>
      <c r="H535" s="101"/>
      <c r="I535" s="101"/>
      <c r="J535" s="101"/>
      <c r="S535" s="101"/>
      <c r="T535" s="241"/>
      <c r="U535" s="241"/>
      <c r="V535" s="241"/>
      <c r="W535" s="241"/>
      <c r="X535" s="241"/>
      <c r="Y535" s="241"/>
      <c r="Z535" s="241"/>
    </row>
    <row r="536" spans="3:26" ht="16.5">
      <c r="C536" s="101"/>
      <c r="D536" s="101"/>
      <c r="E536" s="101"/>
      <c r="F536" s="101"/>
      <c r="G536" s="101"/>
      <c r="H536" s="101"/>
      <c r="I536" s="101"/>
      <c r="J536" s="101"/>
      <c r="S536" s="101"/>
      <c r="T536" s="241"/>
      <c r="U536" s="241"/>
      <c r="V536" s="241"/>
      <c r="W536" s="241"/>
      <c r="X536" s="241"/>
      <c r="Y536" s="241"/>
      <c r="Z536" s="241"/>
    </row>
    <row r="537" spans="3:26" ht="16.5">
      <c r="C537" s="101"/>
      <c r="D537" s="101"/>
      <c r="E537" s="101"/>
      <c r="F537" s="101"/>
      <c r="G537" s="101"/>
      <c r="H537" s="101"/>
      <c r="I537" s="101"/>
      <c r="J537" s="101"/>
      <c r="S537" s="101"/>
      <c r="T537" s="241"/>
      <c r="U537" s="241"/>
      <c r="V537" s="241"/>
      <c r="W537" s="241"/>
      <c r="X537" s="241"/>
      <c r="Y537" s="241"/>
      <c r="Z537" s="241"/>
    </row>
    <row r="538" spans="3:26" ht="16.5">
      <c r="C538" s="101"/>
      <c r="D538" s="101"/>
      <c r="E538" s="101"/>
      <c r="F538" s="101"/>
      <c r="G538" s="101"/>
      <c r="H538" s="101"/>
      <c r="I538" s="101"/>
      <c r="J538" s="101"/>
      <c r="S538" s="101"/>
      <c r="T538" s="241"/>
      <c r="U538" s="241"/>
      <c r="V538" s="241"/>
      <c r="W538" s="241"/>
      <c r="X538" s="241"/>
      <c r="Y538" s="241"/>
      <c r="Z538" s="241"/>
    </row>
    <row r="539" spans="3:26" ht="16.5">
      <c r="C539" s="101"/>
      <c r="D539" s="101"/>
      <c r="E539" s="101"/>
      <c r="F539" s="101"/>
      <c r="G539" s="101"/>
      <c r="H539" s="101"/>
      <c r="I539" s="101"/>
      <c r="J539" s="101"/>
      <c r="S539" s="101"/>
      <c r="T539" s="241"/>
      <c r="U539" s="241"/>
      <c r="V539" s="241"/>
      <c r="W539" s="241"/>
      <c r="X539" s="241"/>
      <c r="Y539" s="241"/>
      <c r="Z539" s="241"/>
    </row>
    <row r="540" spans="3:26" ht="16.5">
      <c r="C540" s="101"/>
      <c r="D540" s="101"/>
      <c r="E540" s="101"/>
      <c r="F540" s="101"/>
      <c r="G540" s="101"/>
      <c r="H540" s="101"/>
      <c r="I540" s="101"/>
      <c r="J540" s="101"/>
      <c r="S540" s="101"/>
      <c r="T540" s="241"/>
      <c r="U540" s="241"/>
      <c r="V540" s="241"/>
      <c r="W540" s="241"/>
      <c r="X540" s="241"/>
      <c r="Y540" s="241"/>
      <c r="Z540" s="241"/>
    </row>
    <row r="541" spans="3:26" ht="16.5">
      <c r="C541" s="101"/>
      <c r="D541" s="101"/>
      <c r="E541" s="101"/>
      <c r="F541" s="101"/>
      <c r="G541" s="101"/>
      <c r="H541" s="101"/>
      <c r="I541" s="101"/>
      <c r="J541" s="101"/>
      <c r="S541" s="101"/>
      <c r="T541" s="241"/>
      <c r="U541" s="241"/>
      <c r="V541" s="241"/>
      <c r="W541" s="241"/>
      <c r="X541" s="241"/>
      <c r="Y541" s="241"/>
      <c r="Z541" s="241"/>
    </row>
    <row r="542" spans="3:26" ht="16.5">
      <c r="C542" s="101"/>
      <c r="D542" s="101"/>
      <c r="E542" s="101"/>
      <c r="F542" s="101"/>
      <c r="G542" s="101"/>
      <c r="H542" s="101"/>
      <c r="I542" s="101"/>
      <c r="J542" s="101"/>
      <c r="S542" s="101"/>
      <c r="T542" s="241"/>
      <c r="U542" s="241"/>
      <c r="V542" s="241"/>
      <c r="W542" s="241"/>
      <c r="X542" s="241"/>
      <c r="Y542" s="241"/>
      <c r="Z542" s="241"/>
    </row>
    <row r="543" spans="3:26" ht="16.5">
      <c r="C543" s="101"/>
      <c r="D543" s="101"/>
      <c r="E543" s="101"/>
      <c r="F543" s="101"/>
      <c r="G543" s="101"/>
      <c r="H543" s="101"/>
      <c r="I543" s="101"/>
      <c r="J543" s="101"/>
      <c r="S543" s="101"/>
      <c r="T543" s="241"/>
      <c r="U543" s="241"/>
      <c r="V543" s="241"/>
      <c r="W543" s="241"/>
      <c r="X543" s="241"/>
      <c r="Y543" s="241"/>
      <c r="Z543" s="241"/>
    </row>
    <row r="544" spans="3:26" ht="16.5">
      <c r="C544" s="101"/>
      <c r="D544" s="101"/>
      <c r="E544" s="101"/>
      <c r="F544" s="101"/>
      <c r="G544" s="101"/>
      <c r="H544" s="101"/>
      <c r="I544" s="101"/>
      <c r="J544" s="101"/>
      <c r="S544" s="101"/>
      <c r="T544" s="241"/>
      <c r="U544" s="241"/>
      <c r="V544" s="241"/>
      <c r="W544" s="241"/>
      <c r="X544" s="241"/>
      <c r="Y544" s="241"/>
      <c r="Z544" s="241"/>
    </row>
    <row r="545" spans="3:26" ht="16.5">
      <c r="C545" s="101"/>
      <c r="D545" s="101"/>
      <c r="E545" s="101"/>
      <c r="F545" s="101"/>
      <c r="G545" s="101"/>
      <c r="H545" s="101"/>
      <c r="I545" s="101"/>
      <c r="J545" s="101"/>
      <c r="S545" s="101"/>
      <c r="T545" s="241"/>
      <c r="U545" s="241"/>
      <c r="V545" s="241"/>
      <c r="W545" s="241"/>
      <c r="X545" s="241"/>
      <c r="Y545" s="241"/>
      <c r="Z545" s="241"/>
    </row>
    <row r="546" spans="3:26" ht="16.5">
      <c r="C546" s="101"/>
      <c r="D546" s="101"/>
      <c r="E546" s="101"/>
      <c r="F546" s="101"/>
      <c r="G546" s="101"/>
      <c r="H546" s="101"/>
      <c r="I546" s="101"/>
      <c r="J546" s="101"/>
      <c r="S546" s="101"/>
      <c r="T546" s="241"/>
      <c r="U546" s="241"/>
      <c r="V546" s="241"/>
      <c r="W546" s="241"/>
      <c r="X546" s="241"/>
      <c r="Y546" s="241"/>
      <c r="Z546" s="241"/>
    </row>
    <row r="547" spans="3:26" ht="16.5">
      <c r="C547" s="101"/>
      <c r="D547" s="101"/>
      <c r="E547" s="101"/>
      <c r="F547" s="101"/>
      <c r="G547" s="101"/>
      <c r="H547" s="101"/>
      <c r="I547" s="101"/>
      <c r="J547" s="101"/>
      <c r="S547" s="101"/>
      <c r="T547" s="241"/>
      <c r="U547" s="241"/>
      <c r="V547" s="241"/>
      <c r="W547" s="241"/>
      <c r="X547" s="241"/>
      <c r="Y547" s="241"/>
      <c r="Z547" s="241"/>
    </row>
    <row r="548" spans="3:26" ht="16.5">
      <c r="C548" s="101"/>
      <c r="D548" s="101"/>
      <c r="E548" s="101"/>
      <c r="F548" s="101"/>
      <c r="G548" s="101"/>
      <c r="H548" s="101"/>
      <c r="I548" s="101"/>
      <c r="J548" s="101"/>
      <c r="S548" s="101"/>
      <c r="T548" s="241"/>
      <c r="U548" s="241"/>
      <c r="V548" s="241"/>
      <c r="W548" s="241"/>
      <c r="X548" s="241"/>
      <c r="Y548" s="241"/>
      <c r="Z548" s="241"/>
    </row>
    <row r="549" spans="3:26" ht="16.5">
      <c r="C549" s="101"/>
      <c r="D549" s="101"/>
      <c r="E549" s="101"/>
      <c r="F549" s="101"/>
      <c r="G549" s="101"/>
      <c r="H549" s="101"/>
      <c r="I549" s="101"/>
      <c r="J549" s="101"/>
      <c r="S549" s="101"/>
      <c r="T549" s="241"/>
      <c r="U549" s="241"/>
      <c r="V549" s="241"/>
      <c r="W549" s="241"/>
      <c r="X549" s="241"/>
      <c r="Y549" s="241"/>
      <c r="Z549" s="241"/>
    </row>
    <row r="550" spans="3:26" ht="16.5">
      <c r="C550" s="101"/>
      <c r="D550" s="101"/>
      <c r="E550" s="101"/>
      <c r="F550" s="101"/>
      <c r="G550" s="101"/>
      <c r="H550" s="101"/>
      <c r="I550" s="101"/>
      <c r="J550" s="101"/>
      <c r="S550" s="101"/>
      <c r="T550" s="241"/>
      <c r="U550" s="241"/>
      <c r="V550" s="241"/>
      <c r="W550" s="241"/>
      <c r="X550" s="241"/>
      <c r="Y550" s="241"/>
      <c r="Z550" s="241"/>
    </row>
    <row r="551" spans="3:26" ht="16.5">
      <c r="C551" s="101"/>
      <c r="D551" s="101"/>
      <c r="E551" s="101"/>
      <c r="F551" s="101"/>
      <c r="G551" s="101"/>
      <c r="H551" s="101"/>
      <c r="I551" s="101"/>
      <c r="J551" s="101"/>
      <c r="S551" s="101"/>
      <c r="T551" s="241"/>
      <c r="U551" s="241"/>
      <c r="V551" s="241"/>
      <c r="W551" s="241"/>
      <c r="X551" s="241"/>
      <c r="Y551" s="241"/>
      <c r="Z551" s="241"/>
    </row>
    <row r="552" spans="3:26" ht="16.5">
      <c r="C552" s="101"/>
      <c r="D552" s="101"/>
      <c r="E552" s="101"/>
      <c r="F552" s="101"/>
      <c r="G552" s="101"/>
      <c r="H552" s="101"/>
      <c r="I552" s="101"/>
      <c r="J552" s="101"/>
      <c r="S552" s="101"/>
      <c r="T552" s="241"/>
      <c r="U552" s="241"/>
      <c r="V552" s="241"/>
      <c r="W552" s="241"/>
      <c r="X552" s="241"/>
      <c r="Y552" s="241"/>
      <c r="Z552" s="241"/>
    </row>
    <row r="553" spans="3:26" ht="16.5">
      <c r="C553" s="101"/>
      <c r="D553" s="101"/>
      <c r="E553" s="101"/>
      <c r="F553" s="101"/>
      <c r="G553" s="101"/>
      <c r="H553" s="101"/>
      <c r="I553" s="101"/>
      <c r="J553" s="101"/>
      <c r="S553" s="101"/>
      <c r="T553" s="241"/>
      <c r="U553" s="241"/>
      <c r="V553" s="241"/>
      <c r="W553" s="241"/>
      <c r="X553" s="241"/>
      <c r="Y553" s="241"/>
      <c r="Z553" s="241"/>
    </row>
    <row r="554" spans="3:26" ht="16.5">
      <c r="C554" s="101"/>
      <c r="D554" s="101"/>
      <c r="E554" s="101"/>
      <c r="F554" s="101"/>
      <c r="G554" s="101"/>
      <c r="H554" s="101"/>
      <c r="I554" s="101"/>
      <c r="J554" s="101"/>
      <c r="S554" s="101"/>
      <c r="T554" s="241"/>
      <c r="U554" s="241"/>
      <c r="V554" s="241"/>
      <c r="W554" s="241"/>
      <c r="X554" s="241"/>
      <c r="Y554" s="241"/>
      <c r="Z554" s="241"/>
    </row>
    <row r="555" spans="3:26" ht="16.5">
      <c r="C555" s="101"/>
      <c r="D555" s="101"/>
      <c r="E555" s="101"/>
      <c r="F555" s="101"/>
      <c r="G555" s="101"/>
      <c r="H555" s="101"/>
      <c r="I555" s="101"/>
      <c r="J555" s="101"/>
      <c r="S555" s="101"/>
      <c r="T555" s="241"/>
      <c r="U555" s="241"/>
      <c r="V555" s="241"/>
      <c r="W555" s="241"/>
      <c r="X555" s="241"/>
      <c r="Y555" s="241"/>
      <c r="Z555" s="241"/>
    </row>
    <row r="556" spans="3:26" ht="16.5">
      <c r="C556" s="101"/>
      <c r="D556" s="101"/>
      <c r="E556" s="101"/>
      <c r="F556" s="101"/>
      <c r="G556" s="101"/>
      <c r="H556" s="101"/>
      <c r="I556" s="101"/>
      <c r="J556" s="101"/>
      <c r="S556" s="101"/>
      <c r="T556" s="241"/>
      <c r="U556" s="241"/>
      <c r="V556" s="241"/>
      <c r="W556" s="241"/>
      <c r="X556" s="241"/>
      <c r="Y556" s="241"/>
      <c r="Z556" s="241"/>
    </row>
    <row r="557" spans="3:26" ht="16.5">
      <c r="C557" s="101"/>
      <c r="D557" s="101"/>
      <c r="E557" s="101"/>
      <c r="F557" s="101"/>
      <c r="G557" s="101"/>
      <c r="H557" s="101"/>
      <c r="I557" s="101"/>
      <c r="J557" s="101"/>
      <c r="S557" s="101"/>
      <c r="T557" s="241"/>
      <c r="U557" s="241"/>
      <c r="V557" s="241"/>
      <c r="W557" s="241"/>
      <c r="X557" s="241"/>
      <c r="Y557" s="241"/>
      <c r="Z557" s="241"/>
    </row>
    <row r="558" spans="3:26" ht="16.5">
      <c r="C558" s="101"/>
      <c r="D558" s="101"/>
      <c r="E558" s="101"/>
      <c r="F558" s="101"/>
      <c r="G558" s="101"/>
      <c r="H558" s="101"/>
      <c r="I558" s="101"/>
      <c r="J558" s="101"/>
      <c r="S558" s="101"/>
      <c r="T558" s="241"/>
      <c r="U558" s="241"/>
      <c r="V558" s="241"/>
      <c r="W558" s="241"/>
      <c r="X558" s="241"/>
      <c r="Y558" s="241"/>
      <c r="Z558" s="241"/>
    </row>
    <row r="559" spans="3:26" ht="16.5">
      <c r="C559" s="101"/>
      <c r="D559" s="101"/>
      <c r="E559" s="101"/>
      <c r="F559" s="101"/>
      <c r="G559" s="101"/>
      <c r="H559" s="101"/>
      <c r="I559" s="101"/>
      <c r="J559" s="101"/>
      <c r="S559" s="101"/>
      <c r="T559" s="241"/>
      <c r="U559" s="241"/>
      <c r="V559" s="241"/>
      <c r="W559" s="241"/>
      <c r="X559" s="241"/>
      <c r="Y559" s="241"/>
      <c r="Z559" s="241"/>
    </row>
    <row r="560" spans="3:26" ht="16.5">
      <c r="C560" s="101"/>
      <c r="D560" s="101"/>
      <c r="E560" s="101"/>
      <c r="F560" s="101"/>
      <c r="G560" s="101"/>
      <c r="H560" s="101"/>
      <c r="I560" s="101"/>
      <c r="J560" s="101"/>
      <c r="S560" s="101"/>
      <c r="T560" s="241"/>
      <c r="U560" s="241"/>
      <c r="V560" s="241"/>
      <c r="W560" s="241"/>
      <c r="X560" s="241"/>
      <c r="Y560" s="241"/>
      <c r="Z560" s="241"/>
    </row>
    <row r="561" spans="3:26" ht="16.5">
      <c r="C561" s="101"/>
      <c r="D561" s="101"/>
      <c r="E561" s="101"/>
      <c r="F561" s="101"/>
      <c r="G561" s="101"/>
      <c r="H561" s="101"/>
      <c r="I561" s="101"/>
      <c r="J561" s="101"/>
      <c r="S561" s="101"/>
      <c r="T561" s="241"/>
      <c r="U561" s="241"/>
      <c r="V561" s="241"/>
      <c r="W561" s="241"/>
      <c r="X561" s="241"/>
      <c r="Y561" s="241"/>
      <c r="Z561" s="241"/>
    </row>
    <row r="562" spans="3:26" ht="16.5">
      <c r="C562" s="101"/>
      <c r="D562" s="101"/>
      <c r="E562" s="101"/>
      <c r="F562" s="101"/>
      <c r="G562" s="101"/>
      <c r="H562" s="101"/>
      <c r="I562" s="101"/>
      <c r="J562" s="101"/>
      <c r="S562" s="101"/>
      <c r="T562" s="241"/>
      <c r="U562" s="241"/>
      <c r="V562" s="241"/>
      <c r="W562" s="241"/>
      <c r="X562" s="241"/>
      <c r="Y562" s="241"/>
      <c r="Z562" s="241"/>
    </row>
    <row r="563" spans="3:26" ht="16.5">
      <c r="C563" s="101"/>
      <c r="D563" s="101"/>
      <c r="E563" s="101"/>
      <c r="F563" s="101"/>
      <c r="G563" s="101"/>
      <c r="H563" s="101"/>
      <c r="I563" s="101"/>
      <c r="J563" s="101"/>
      <c r="S563" s="101"/>
      <c r="T563" s="241"/>
      <c r="U563" s="241"/>
      <c r="V563" s="241"/>
      <c r="W563" s="241"/>
      <c r="X563" s="241"/>
      <c r="Y563" s="241"/>
      <c r="Z563" s="241"/>
    </row>
    <row r="564" spans="3:26" ht="16.5">
      <c r="C564" s="101"/>
      <c r="D564" s="101"/>
      <c r="E564" s="101"/>
      <c r="F564" s="101"/>
      <c r="G564" s="101"/>
      <c r="H564" s="101"/>
      <c r="I564" s="101"/>
      <c r="J564" s="101"/>
      <c r="S564" s="101"/>
      <c r="T564" s="241"/>
      <c r="U564" s="241"/>
      <c r="V564" s="241"/>
      <c r="W564" s="241"/>
      <c r="X564" s="241"/>
      <c r="Y564" s="241"/>
      <c r="Z564" s="241"/>
    </row>
    <row r="565" spans="3:26" ht="16.5">
      <c r="C565" s="101"/>
      <c r="D565" s="101"/>
      <c r="E565" s="101"/>
      <c r="F565" s="101"/>
      <c r="G565" s="101"/>
      <c r="H565" s="101"/>
      <c r="I565" s="101"/>
      <c r="J565" s="101"/>
      <c r="S565" s="101"/>
      <c r="T565" s="241"/>
      <c r="U565" s="241"/>
      <c r="V565" s="241"/>
      <c r="W565" s="241"/>
      <c r="X565" s="241"/>
      <c r="Y565" s="241"/>
      <c r="Z565" s="241"/>
    </row>
    <row r="566" spans="3:26" ht="16.5">
      <c r="C566" s="101"/>
      <c r="D566" s="101"/>
      <c r="E566" s="101"/>
      <c r="F566" s="101"/>
      <c r="G566" s="101"/>
      <c r="H566" s="101"/>
      <c r="I566" s="101"/>
      <c r="J566" s="101"/>
      <c r="S566" s="101"/>
      <c r="T566" s="241"/>
      <c r="U566" s="241"/>
      <c r="V566" s="241"/>
      <c r="W566" s="241"/>
      <c r="X566" s="241"/>
      <c r="Y566" s="241"/>
      <c r="Z566" s="241"/>
    </row>
    <row r="567" spans="3:26" ht="16.5">
      <c r="C567" s="101"/>
      <c r="D567" s="101"/>
      <c r="E567" s="101"/>
      <c r="F567" s="101"/>
      <c r="G567" s="101"/>
      <c r="H567" s="101"/>
      <c r="I567" s="101"/>
      <c r="J567" s="101"/>
      <c r="S567" s="101"/>
      <c r="T567" s="241"/>
      <c r="U567" s="241"/>
      <c r="V567" s="241"/>
      <c r="W567" s="241"/>
      <c r="X567" s="241"/>
      <c r="Y567" s="241"/>
      <c r="Z567" s="241"/>
    </row>
    <row r="568" spans="3:26" ht="16.5">
      <c r="C568" s="101"/>
      <c r="D568" s="101"/>
      <c r="E568" s="101"/>
      <c r="F568" s="101"/>
      <c r="G568" s="101"/>
      <c r="H568" s="101"/>
      <c r="I568" s="101"/>
      <c r="J568" s="101"/>
      <c r="S568" s="101"/>
      <c r="T568" s="241"/>
      <c r="U568" s="241"/>
      <c r="V568" s="241"/>
      <c r="W568" s="241"/>
      <c r="X568" s="241"/>
      <c r="Y568" s="241"/>
      <c r="Z568" s="241"/>
    </row>
    <row r="569" spans="3:26" ht="16.5">
      <c r="C569" s="101"/>
      <c r="D569" s="101"/>
      <c r="E569" s="101"/>
      <c r="F569" s="101"/>
      <c r="G569" s="101"/>
      <c r="H569" s="101"/>
      <c r="I569" s="101"/>
      <c r="J569" s="101"/>
      <c r="S569" s="101"/>
      <c r="T569" s="241"/>
      <c r="U569" s="241"/>
      <c r="V569" s="241"/>
      <c r="W569" s="241"/>
      <c r="X569" s="241"/>
      <c r="Y569" s="241"/>
      <c r="Z569" s="241"/>
    </row>
    <row r="570" spans="3:26" ht="16.5">
      <c r="C570" s="101"/>
      <c r="D570" s="101"/>
      <c r="E570" s="101"/>
      <c r="F570" s="101"/>
      <c r="G570" s="101"/>
      <c r="H570" s="101"/>
      <c r="I570" s="101"/>
      <c r="J570" s="101"/>
      <c r="S570" s="101"/>
      <c r="T570" s="241"/>
      <c r="U570" s="241"/>
      <c r="V570" s="241"/>
      <c r="W570" s="241"/>
      <c r="X570" s="241"/>
      <c r="Y570" s="241"/>
      <c r="Z570" s="241"/>
    </row>
    <row r="571" spans="3:26" ht="16.5">
      <c r="C571" s="101"/>
      <c r="D571" s="101"/>
      <c r="E571" s="101"/>
      <c r="F571" s="101"/>
      <c r="G571" s="101"/>
      <c r="H571" s="101"/>
      <c r="I571" s="101"/>
      <c r="J571" s="101"/>
      <c r="S571" s="101"/>
      <c r="T571" s="241"/>
      <c r="U571" s="241"/>
      <c r="V571" s="241"/>
      <c r="W571" s="241"/>
      <c r="X571" s="241"/>
      <c r="Y571" s="241"/>
      <c r="Z571" s="241"/>
    </row>
    <row r="572" spans="3:26" ht="16.5">
      <c r="C572" s="101"/>
      <c r="D572" s="101"/>
      <c r="E572" s="101"/>
      <c r="F572" s="101"/>
      <c r="G572" s="101"/>
      <c r="H572" s="101"/>
      <c r="I572" s="101"/>
      <c r="J572" s="101"/>
      <c r="S572" s="101"/>
      <c r="T572" s="241"/>
      <c r="U572" s="241"/>
      <c r="V572" s="241"/>
      <c r="W572" s="241"/>
      <c r="X572" s="241"/>
      <c r="Y572" s="241"/>
      <c r="Z572" s="241"/>
    </row>
    <row r="573" spans="3:26" ht="16.5">
      <c r="C573" s="101"/>
      <c r="D573" s="101"/>
      <c r="E573" s="101"/>
      <c r="F573" s="101"/>
      <c r="G573" s="101"/>
      <c r="H573" s="101"/>
      <c r="I573" s="101"/>
      <c r="J573" s="101"/>
      <c r="S573" s="101"/>
      <c r="T573" s="241"/>
      <c r="U573" s="241"/>
      <c r="V573" s="241"/>
      <c r="W573" s="241"/>
      <c r="X573" s="241"/>
      <c r="Y573" s="241"/>
      <c r="Z573" s="241"/>
    </row>
    <row r="574" spans="3:26" ht="16.5">
      <c r="C574" s="101"/>
      <c r="D574" s="101"/>
      <c r="E574" s="101"/>
      <c r="F574" s="101"/>
      <c r="G574" s="101"/>
      <c r="H574" s="101"/>
      <c r="I574" s="101"/>
      <c r="J574" s="101"/>
      <c r="S574" s="101"/>
      <c r="T574" s="241"/>
      <c r="U574" s="241"/>
      <c r="V574" s="241"/>
      <c r="W574" s="241"/>
      <c r="X574" s="241"/>
      <c r="Y574" s="241"/>
      <c r="Z574" s="241"/>
    </row>
    <row r="575" spans="3:26" ht="16.5">
      <c r="C575" s="101"/>
      <c r="D575" s="101"/>
      <c r="E575" s="101"/>
      <c r="F575" s="101"/>
      <c r="G575" s="101"/>
      <c r="H575" s="101"/>
      <c r="I575" s="101"/>
      <c r="J575" s="101"/>
      <c r="S575" s="101"/>
      <c r="T575" s="241"/>
      <c r="U575" s="241"/>
      <c r="V575" s="241"/>
      <c r="W575" s="241"/>
      <c r="X575" s="241"/>
      <c r="Y575" s="241"/>
      <c r="Z575" s="241"/>
    </row>
    <row r="576" spans="3:26" ht="16.5">
      <c r="C576" s="101"/>
      <c r="D576" s="101"/>
      <c r="E576" s="101"/>
      <c r="F576" s="101"/>
      <c r="G576" s="101"/>
      <c r="H576" s="101"/>
      <c r="I576" s="101"/>
      <c r="J576" s="101"/>
      <c r="S576" s="101"/>
      <c r="T576" s="241"/>
      <c r="U576" s="241"/>
      <c r="V576" s="241"/>
      <c r="W576" s="241"/>
      <c r="X576" s="241"/>
      <c r="Y576" s="241"/>
      <c r="Z576" s="241"/>
    </row>
    <row r="577" spans="3:26" ht="16.5">
      <c r="C577" s="101"/>
      <c r="D577" s="101"/>
      <c r="E577" s="101"/>
      <c r="F577" s="101"/>
      <c r="G577" s="101"/>
      <c r="H577" s="101"/>
      <c r="I577" s="101"/>
      <c r="J577" s="101"/>
      <c r="S577" s="101"/>
      <c r="T577" s="241"/>
      <c r="U577" s="241"/>
      <c r="V577" s="241"/>
      <c r="W577" s="241"/>
      <c r="X577" s="241"/>
      <c r="Y577" s="241"/>
      <c r="Z577" s="241"/>
    </row>
    <row r="578" spans="3:26" ht="16.5">
      <c r="C578" s="101"/>
      <c r="D578" s="101"/>
      <c r="E578" s="101"/>
      <c r="F578" s="101"/>
      <c r="G578" s="101"/>
      <c r="H578" s="101"/>
      <c r="I578" s="101"/>
      <c r="J578" s="101"/>
      <c r="S578" s="101"/>
      <c r="T578" s="241"/>
      <c r="U578" s="241"/>
      <c r="V578" s="241"/>
      <c r="W578" s="241"/>
      <c r="X578" s="241"/>
      <c r="Y578" s="241"/>
      <c r="Z578" s="241"/>
    </row>
    <row r="579" spans="3:26" ht="16.5">
      <c r="C579" s="101"/>
      <c r="D579" s="101"/>
      <c r="E579" s="101"/>
      <c r="F579" s="101"/>
      <c r="G579" s="101"/>
      <c r="H579" s="101"/>
      <c r="I579" s="101"/>
      <c r="J579" s="101"/>
      <c r="S579" s="101"/>
      <c r="T579" s="241"/>
      <c r="U579" s="241"/>
      <c r="V579" s="241"/>
      <c r="W579" s="241"/>
      <c r="X579" s="241"/>
      <c r="Y579" s="241"/>
      <c r="Z579" s="241"/>
    </row>
    <row r="580" spans="3:26" ht="16.5">
      <c r="C580" s="101"/>
      <c r="D580" s="101"/>
      <c r="E580" s="101"/>
      <c r="F580" s="101"/>
      <c r="G580" s="101"/>
      <c r="H580" s="101"/>
      <c r="I580" s="101"/>
      <c r="J580" s="101"/>
      <c r="S580" s="101"/>
      <c r="T580" s="241"/>
      <c r="U580" s="241"/>
      <c r="V580" s="241"/>
      <c r="W580" s="241"/>
      <c r="X580" s="241"/>
      <c r="Y580" s="241"/>
      <c r="Z580" s="241"/>
    </row>
    <row r="581" spans="3:26" ht="16.5">
      <c r="C581" s="101"/>
      <c r="D581" s="101"/>
      <c r="E581" s="101"/>
      <c r="F581" s="101"/>
      <c r="G581" s="101"/>
      <c r="H581" s="101"/>
      <c r="I581" s="101"/>
      <c r="J581" s="101"/>
      <c r="S581" s="101"/>
      <c r="T581" s="241"/>
      <c r="U581" s="241"/>
      <c r="V581" s="241"/>
      <c r="W581" s="241"/>
      <c r="X581" s="241"/>
      <c r="Y581" s="241"/>
      <c r="Z581" s="241"/>
    </row>
    <row r="582" spans="3:26" ht="16.5">
      <c r="C582" s="101"/>
      <c r="D582" s="101"/>
      <c r="E582" s="101"/>
      <c r="F582" s="101"/>
      <c r="G582" s="101"/>
      <c r="H582" s="101"/>
      <c r="I582" s="101"/>
      <c r="J582" s="101"/>
      <c r="S582" s="101"/>
      <c r="T582" s="241"/>
      <c r="U582" s="241"/>
      <c r="V582" s="241"/>
      <c r="W582" s="241"/>
      <c r="X582" s="241"/>
      <c r="Y582" s="241"/>
      <c r="Z582" s="241"/>
    </row>
    <row r="583" spans="3:26" ht="16.5">
      <c r="C583" s="101"/>
      <c r="D583" s="101"/>
      <c r="E583" s="101"/>
      <c r="F583" s="101"/>
      <c r="G583" s="101"/>
      <c r="H583" s="101"/>
      <c r="I583" s="101"/>
      <c r="J583" s="101"/>
      <c r="S583" s="101"/>
      <c r="T583" s="241"/>
      <c r="U583" s="241"/>
      <c r="V583" s="241"/>
      <c r="W583" s="241"/>
      <c r="X583" s="241"/>
      <c r="Y583" s="241"/>
      <c r="Z583" s="241"/>
    </row>
    <row r="584" spans="3:26" ht="16.5">
      <c r="C584" s="101"/>
      <c r="D584" s="101"/>
      <c r="E584" s="101"/>
      <c r="F584" s="101"/>
      <c r="G584" s="101"/>
      <c r="H584" s="101"/>
      <c r="I584" s="101"/>
      <c r="J584" s="101"/>
      <c r="S584" s="101"/>
      <c r="T584" s="241"/>
      <c r="U584" s="241"/>
      <c r="V584" s="241"/>
      <c r="W584" s="241"/>
      <c r="X584" s="241"/>
      <c r="Y584" s="241"/>
      <c r="Z584" s="241"/>
    </row>
    <row r="585" spans="3:26" ht="16.5">
      <c r="C585" s="101"/>
      <c r="D585" s="101"/>
      <c r="E585" s="101"/>
      <c r="F585" s="101"/>
      <c r="G585" s="101"/>
      <c r="H585" s="101"/>
      <c r="I585" s="101"/>
      <c r="J585" s="101"/>
      <c r="S585" s="101"/>
      <c r="T585" s="241"/>
      <c r="U585" s="241"/>
      <c r="V585" s="241"/>
      <c r="W585" s="241"/>
      <c r="X585" s="241"/>
      <c r="Y585" s="241"/>
      <c r="Z585" s="241"/>
    </row>
    <row r="586" spans="3:26" ht="16.5">
      <c r="C586" s="101"/>
      <c r="D586" s="101"/>
      <c r="E586" s="101"/>
      <c r="F586" s="101"/>
      <c r="G586" s="101"/>
      <c r="H586" s="101"/>
      <c r="I586" s="101"/>
      <c r="J586" s="101"/>
      <c r="S586" s="101"/>
      <c r="T586" s="241"/>
      <c r="U586" s="241"/>
      <c r="V586" s="241"/>
      <c r="W586" s="241"/>
      <c r="X586" s="241"/>
      <c r="Y586" s="241"/>
      <c r="Z586" s="241"/>
    </row>
    <row r="587" spans="3:26" ht="16.5">
      <c r="C587" s="101"/>
      <c r="D587" s="101"/>
      <c r="E587" s="101"/>
      <c r="F587" s="101"/>
      <c r="G587" s="101"/>
      <c r="H587" s="101"/>
      <c r="I587" s="101"/>
      <c r="J587" s="101"/>
      <c r="S587" s="101"/>
      <c r="T587" s="241"/>
      <c r="U587" s="241"/>
      <c r="V587" s="241"/>
      <c r="W587" s="241"/>
      <c r="X587" s="241"/>
      <c r="Y587" s="241"/>
      <c r="Z587" s="241"/>
    </row>
    <row r="588" spans="3:26" ht="16.5">
      <c r="C588" s="101"/>
      <c r="D588" s="101"/>
      <c r="E588" s="101"/>
      <c r="F588" s="101"/>
      <c r="G588" s="101"/>
      <c r="H588" s="101"/>
      <c r="I588" s="101"/>
      <c r="J588" s="101"/>
      <c r="S588" s="101"/>
      <c r="T588" s="241"/>
      <c r="U588" s="241"/>
      <c r="V588" s="241"/>
      <c r="W588" s="241"/>
      <c r="X588" s="241"/>
      <c r="Y588" s="241"/>
      <c r="Z588" s="241"/>
    </row>
    <row r="589" spans="3:26" ht="16.5">
      <c r="C589" s="101"/>
      <c r="D589" s="101"/>
      <c r="E589" s="101"/>
      <c r="F589" s="101"/>
      <c r="G589" s="101"/>
      <c r="H589" s="101"/>
      <c r="I589" s="101"/>
      <c r="J589" s="101"/>
      <c r="S589" s="101"/>
      <c r="T589" s="241"/>
      <c r="U589" s="241"/>
      <c r="V589" s="241"/>
      <c r="W589" s="241"/>
      <c r="X589" s="241"/>
      <c r="Y589" s="241"/>
      <c r="Z589" s="241"/>
    </row>
    <row r="590" spans="3:26" ht="16.5">
      <c r="C590" s="101"/>
      <c r="D590" s="101"/>
      <c r="E590" s="101"/>
      <c r="F590" s="101"/>
      <c r="G590" s="101"/>
      <c r="H590" s="101"/>
      <c r="I590" s="101"/>
      <c r="J590" s="101"/>
      <c r="S590" s="101"/>
      <c r="T590" s="241"/>
      <c r="U590" s="241"/>
      <c r="V590" s="241"/>
      <c r="W590" s="241"/>
      <c r="X590" s="241"/>
      <c r="Y590" s="241"/>
      <c r="Z590" s="241"/>
    </row>
    <row r="591" spans="3:26" ht="16.5">
      <c r="C591" s="101"/>
      <c r="D591" s="101"/>
      <c r="E591" s="101"/>
      <c r="F591" s="101"/>
      <c r="G591" s="101"/>
      <c r="H591" s="101"/>
      <c r="I591" s="101"/>
      <c r="J591" s="101"/>
      <c r="S591" s="101"/>
      <c r="T591" s="241"/>
      <c r="U591" s="241"/>
      <c r="V591" s="241"/>
      <c r="W591" s="241"/>
      <c r="X591" s="241"/>
      <c r="Y591" s="241"/>
      <c r="Z591" s="241"/>
    </row>
    <row r="592" spans="3:26" ht="16.5">
      <c r="C592" s="101"/>
      <c r="D592" s="101"/>
      <c r="E592" s="101"/>
      <c r="F592" s="101"/>
      <c r="G592" s="101"/>
      <c r="H592" s="101"/>
      <c r="I592" s="101"/>
      <c r="J592" s="101"/>
      <c r="S592" s="101"/>
      <c r="T592" s="241"/>
      <c r="U592" s="241"/>
      <c r="V592" s="241"/>
      <c r="W592" s="241"/>
      <c r="X592" s="241"/>
      <c r="Y592" s="241"/>
      <c r="Z592" s="241"/>
    </row>
    <row r="593" spans="3:26" ht="16.5">
      <c r="C593" s="101"/>
      <c r="D593" s="101"/>
      <c r="E593" s="101"/>
      <c r="F593" s="101"/>
      <c r="G593" s="101"/>
      <c r="H593" s="101"/>
      <c r="I593" s="101"/>
      <c r="J593" s="101"/>
      <c r="S593" s="101"/>
      <c r="T593" s="241"/>
      <c r="U593" s="241"/>
      <c r="V593" s="241"/>
      <c r="W593" s="241"/>
      <c r="X593" s="241"/>
      <c r="Y593" s="241"/>
      <c r="Z593" s="241"/>
    </row>
    <row r="594" spans="3:26" ht="16.5">
      <c r="C594" s="101"/>
      <c r="D594" s="101"/>
      <c r="E594" s="101"/>
      <c r="F594" s="101"/>
      <c r="G594" s="101"/>
      <c r="H594" s="101"/>
      <c r="I594" s="101"/>
      <c r="J594" s="101"/>
      <c r="S594" s="101"/>
      <c r="T594" s="241"/>
      <c r="U594" s="241"/>
      <c r="V594" s="241"/>
      <c r="W594" s="241"/>
      <c r="X594" s="241"/>
      <c r="Y594" s="241"/>
      <c r="Z594" s="241"/>
    </row>
    <row r="595" spans="3:26" ht="16.5">
      <c r="C595" s="101"/>
      <c r="D595" s="101"/>
      <c r="E595" s="101"/>
      <c r="F595" s="101"/>
      <c r="G595" s="101"/>
      <c r="H595" s="101"/>
      <c r="I595" s="101"/>
      <c r="J595" s="101"/>
      <c r="S595" s="101"/>
      <c r="T595" s="241"/>
      <c r="U595" s="241"/>
      <c r="V595" s="241"/>
      <c r="W595" s="241"/>
      <c r="X595" s="241"/>
      <c r="Y595" s="241"/>
      <c r="Z595" s="241"/>
    </row>
    <row r="596" spans="3:26" ht="16.5">
      <c r="C596" s="101"/>
      <c r="D596" s="101"/>
      <c r="E596" s="101"/>
      <c r="F596" s="101"/>
      <c r="G596" s="101"/>
      <c r="H596" s="101"/>
      <c r="I596" s="101"/>
      <c r="J596" s="101"/>
      <c r="S596" s="101"/>
      <c r="T596" s="241"/>
      <c r="U596" s="241"/>
      <c r="V596" s="241"/>
      <c r="W596" s="241"/>
      <c r="X596" s="241"/>
      <c r="Y596" s="241"/>
      <c r="Z596" s="241"/>
    </row>
    <row r="597" spans="3:26" ht="16.5">
      <c r="C597" s="101"/>
      <c r="D597" s="101"/>
      <c r="E597" s="101"/>
      <c r="F597" s="101"/>
      <c r="G597" s="101"/>
      <c r="H597" s="101"/>
      <c r="I597" s="101"/>
      <c r="J597" s="101"/>
      <c r="S597" s="101"/>
      <c r="T597" s="241"/>
      <c r="U597" s="241"/>
      <c r="V597" s="241"/>
      <c r="W597" s="241"/>
      <c r="X597" s="241"/>
      <c r="Y597" s="241"/>
      <c r="Z597" s="241"/>
    </row>
    <row r="598" spans="3:26" ht="16.5">
      <c r="C598" s="101"/>
      <c r="D598" s="101"/>
      <c r="E598" s="101"/>
      <c r="F598" s="101"/>
      <c r="G598" s="101"/>
      <c r="H598" s="101"/>
      <c r="I598" s="101"/>
      <c r="J598" s="101"/>
      <c r="S598" s="101"/>
      <c r="T598" s="241"/>
      <c r="U598" s="241"/>
      <c r="V598" s="241"/>
      <c r="W598" s="241"/>
      <c r="X598" s="241"/>
      <c r="Y598" s="241"/>
      <c r="Z598" s="241"/>
    </row>
    <row r="599" spans="3:26" ht="16.5">
      <c r="C599" s="101"/>
      <c r="D599" s="101"/>
      <c r="E599" s="101"/>
      <c r="F599" s="101"/>
      <c r="G599" s="101"/>
      <c r="H599" s="101"/>
      <c r="I599" s="101"/>
      <c r="J599" s="101"/>
      <c r="S599" s="101"/>
      <c r="T599" s="241"/>
      <c r="U599" s="241"/>
      <c r="V599" s="241"/>
      <c r="W599" s="241"/>
      <c r="X599" s="241"/>
      <c r="Y599" s="241"/>
      <c r="Z599" s="241"/>
    </row>
    <row r="600" spans="3:26" ht="16.5">
      <c r="C600" s="101"/>
      <c r="D600" s="101"/>
      <c r="E600" s="101"/>
      <c r="F600" s="101"/>
      <c r="G600" s="101"/>
      <c r="H600" s="101"/>
      <c r="I600" s="101"/>
      <c r="J600" s="101"/>
      <c r="S600" s="101"/>
      <c r="T600" s="241"/>
      <c r="U600" s="241"/>
      <c r="V600" s="241"/>
      <c r="W600" s="241"/>
      <c r="X600" s="241"/>
      <c r="Y600" s="241"/>
      <c r="Z600" s="241"/>
    </row>
    <row r="601" spans="3:26" ht="16.5">
      <c r="C601" s="101"/>
      <c r="D601" s="101"/>
      <c r="E601" s="101"/>
      <c r="F601" s="101"/>
      <c r="G601" s="101"/>
      <c r="H601" s="101"/>
      <c r="I601" s="101"/>
      <c r="J601" s="101"/>
      <c r="S601" s="101"/>
      <c r="T601" s="241"/>
      <c r="U601" s="241"/>
      <c r="V601" s="241"/>
      <c r="W601" s="241"/>
      <c r="X601" s="241"/>
      <c r="Y601" s="241"/>
      <c r="Z601" s="241"/>
    </row>
    <row r="602" spans="3:26" ht="16.5">
      <c r="C602" s="101"/>
      <c r="D602" s="101"/>
      <c r="E602" s="101"/>
      <c r="F602" s="101"/>
      <c r="G602" s="101"/>
      <c r="H602" s="101"/>
      <c r="I602" s="101"/>
      <c r="J602" s="101"/>
      <c r="S602" s="101"/>
      <c r="T602" s="241"/>
      <c r="U602" s="241"/>
      <c r="V602" s="241"/>
      <c r="W602" s="241"/>
      <c r="X602" s="241"/>
      <c r="Y602" s="241"/>
      <c r="Z602" s="241"/>
    </row>
    <row r="603" spans="3:26" ht="16.5">
      <c r="C603" s="101"/>
      <c r="D603" s="101"/>
      <c r="E603" s="101"/>
      <c r="F603" s="101"/>
      <c r="G603" s="101"/>
      <c r="H603" s="101"/>
      <c r="I603" s="101"/>
      <c r="J603" s="101"/>
      <c r="S603" s="101"/>
      <c r="T603" s="241"/>
      <c r="U603" s="241"/>
      <c r="V603" s="241"/>
      <c r="W603" s="241"/>
      <c r="X603" s="241"/>
      <c r="Y603" s="241"/>
      <c r="Z603" s="241"/>
    </row>
    <row r="604" spans="3:26" ht="16.5">
      <c r="C604" s="101"/>
      <c r="D604" s="101"/>
      <c r="E604" s="101"/>
      <c r="F604" s="101"/>
      <c r="G604" s="101"/>
      <c r="H604" s="101"/>
      <c r="I604" s="101"/>
      <c r="J604" s="101"/>
      <c r="S604" s="101"/>
      <c r="T604" s="241"/>
      <c r="U604" s="241"/>
      <c r="V604" s="241"/>
      <c r="W604" s="241"/>
      <c r="X604" s="241"/>
      <c r="Y604" s="241"/>
      <c r="Z604" s="241"/>
    </row>
    <row r="605" spans="3:26" ht="16.5">
      <c r="C605" s="101"/>
      <c r="D605" s="101"/>
      <c r="E605" s="101"/>
      <c r="F605" s="101"/>
      <c r="G605" s="101"/>
      <c r="H605" s="101"/>
      <c r="I605" s="101"/>
      <c r="J605" s="101"/>
      <c r="S605" s="101"/>
      <c r="T605" s="241"/>
      <c r="U605" s="241"/>
      <c r="V605" s="241"/>
      <c r="W605" s="241"/>
      <c r="X605" s="241"/>
      <c r="Y605" s="241"/>
      <c r="Z605" s="241"/>
    </row>
    <row r="606" spans="3:26" ht="16.5">
      <c r="C606" s="101"/>
      <c r="D606" s="101"/>
      <c r="E606" s="101"/>
      <c r="F606" s="101"/>
      <c r="G606" s="101"/>
      <c r="H606" s="101"/>
      <c r="I606" s="101"/>
      <c r="J606" s="101"/>
      <c r="S606" s="101"/>
      <c r="T606" s="241"/>
      <c r="U606" s="241"/>
      <c r="V606" s="241"/>
      <c r="W606" s="241"/>
      <c r="X606" s="241"/>
      <c r="Y606" s="241"/>
      <c r="Z606" s="241"/>
    </row>
    <row r="607" spans="3:26" ht="16.5">
      <c r="C607" s="101"/>
      <c r="D607" s="101"/>
      <c r="E607" s="101"/>
      <c r="F607" s="101"/>
      <c r="G607" s="101"/>
      <c r="H607" s="101"/>
      <c r="I607" s="101"/>
      <c r="J607" s="101"/>
      <c r="S607" s="101"/>
      <c r="T607" s="241"/>
      <c r="U607" s="241"/>
      <c r="V607" s="241"/>
      <c r="W607" s="241"/>
      <c r="X607" s="241"/>
      <c r="Y607" s="241"/>
      <c r="Z607" s="241"/>
    </row>
    <row r="608" spans="3:26" ht="16.5">
      <c r="C608" s="101"/>
      <c r="D608" s="101"/>
      <c r="E608" s="101"/>
      <c r="F608" s="101"/>
      <c r="G608" s="101"/>
      <c r="H608" s="101"/>
      <c r="I608" s="101"/>
      <c r="J608" s="101"/>
      <c r="S608" s="101"/>
      <c r="T608" s="241"/>
      <c r="U608" s="241"/>
      <c r="V608" s="241"/>
      <c r="W608" s="241"/>
      <c r="X608" s="241"/>
      <c r="Y608" s="241"/>
      <c r="Z608" s="241"/>
    </row>
    <row r="609" spans="3:26" ht="16.5">
      <c r="C609" s="101"/>
      <c r="D609" s="101"/>
      <c r="E609" s="101"/>
      <c r="F609" s="101"/>
      <c r="G609" s="101"/>
      <c r="H609" s="101"/>
      <c r="I609" s="101"/>
      <c r="J609" s="101"/>
      <c r="S609" s="101"/>
      <c r="T609" s="241"/>
      <c r="U609" s="241"/>
      <c r="V609" s="241"/>
      <c r="W609" s="241"/>
      <c r="X609" s="241"/>
      <c r="Y609" s="241"/>
      <c r="Z609" s="241"/>
    </row>
    <row r="610" spans="3:26" ht="16.5">
      <c r="C610" s="101"/>
      <c r="D610" s="101"/>
      <c r="E610" s="101"/>
      <c r="F610" s="101"/>
      <c r="G610" s="101"/>
      <c r="H610" s="101"/>
      <c r="I610" s="101"/>
      <c r="J610" s="101"/>
      <c r="S610" s="101"/>
      <c r="T610" s="241"/>
      <c r="U610" s="241"/>
      <c r="V610" s="241"/>
      <c r="W610" s="241"/>
      <c r="X610" s="241"/>
      <c r="Y610" s="241"/>
      <c r="Z610" s="241"/>
    </row>
    <row r="611" spans="3:26" ht="16.5">
      <c r="C611" s="101"/>
      <c r="D611" s="101"/>
      <c r="E611" s="101"/>
      <c r="F611" s="101"/>
      <c r="G611" s="101"/>
      <c r="H611" s="101"/>
      <c r="I611" s="101"/>
      <c r="J611" s="101"/>
      <c r="S611" s="101"/>
      <c r="T611" s="241"/>
      <c r="U611" s="241"/>
      <c r="V611" s="241"/>
      <c r="W611" s="241"/>
      <c r="X611" s="241"/>
      <c r="Y611" s="241"/>
      <c r="Z611" s="241"/>
    </row>
    <row r="612" spans="3:26" ht="16.5">
      <c r="C612" s="101"/>
      <c r="D612" s="101"/>
      <c r="E612" s="101"/>
      <c r="F612" s="101"/>
      <c r="G612" s="101"/>
      <c r="H612" s="101"/>
      <c r="I612" s="101"/>
      <c r="J612" s="101"/>
      <c r="S612" s="101"/>
      <c r="T612" s="241"/>
      <c r="U612" s="241"/>
      <c r="V612" s="241"/>
      <c r="W612" s="241"/>
      <c r="X612" s="241"/>
      <c r="Y612" s="241"/>
      <c r="Z612" s="241"/>
    </row>
    <row r="613" spans="3:26" ht="16.5">
      <c r="C613" s="101"/>
      <c r="D613" s="101"/>
      <c r="E613" s="101"/>
      <c r="F613" s="101"/>
      <c r="G613" s="101"/>
      <c r="H613" s="101"/>
      <c r="I613" s="101"/>
      <c r="J613" s="101"/>
      <c r="S613" s="101"/>
      <c r="T613" s="241"/>
      <c r="U613" s="241"/>
      <c r="V613" s="241"/>
      <c r="W613" s="241"/>
      <c r="X613" s="241"/>
      <c r="Y613" s="241"/>
      <c r="Z613" s="241"/>
    </row>
    <row r="614" spans="3:26" ht="16.5">
      <c r="C614" s="101"/>
      <c r="D614" s="101"/>
      <c r="E614" s="101"/>
      <c r="F614" s="101"/>
      <c r="G614" s="101"/>
      <c r="H614" s="101"/>
      <c r="I614" s="101"/>
      <c r="J614" s="101"/>
      <c r="S614" s="101"/>
      <c r="T614" s="241"/>
      <c r="U614" s="241"/>
      <c r="V614" s="241"/>
      <c r="W614" s="241"/>
      <c r="X614" s="241"/>
      <c r="Y614" s="241"/>
      <c r="Z614" s="241"/>
    </row>
    <row r="615" spans="3:26" ht="16.5">
      <c r="C615" s="101"/>
      <c r="D615" s="101"/>
      <c r="E615" s="101"/>
      <c r="F615" s="101"/>
      <c r="G615" s="101"/>
      <c r="H615" s="101"/>
      <c r="I615" s="101"/>
      <c r="J615" s="101"/>
      <c r="S615" s="101"/>
      <c r="T615" s="241"/>
      <c r="U615" s="241"/>
      <c r="V615" s="241"/>
      <c r="W615" s="241"/>
      <c r="X615" s="241"/>
      <c r="Y615" s="241"/>
      <c r="Z615" s="241"/>
    </row>
    <row r="616" spans="3:26" ht="16.5">
      <c r="C616" s="101"/>
      <c r="D616" s="101"/>
      <c r="E616" s="101"/>
      <c r="F616" s="101"/>
      <c r="G616" s="101"/>
      <c r="H616" s="101"/>
      <c r="I616" s="101"/>
      <c r="J616" s="101"/>
      <c r="S616" s="101"/>
      <c r="T616" s="241"/>
      <c r="U616" s="241"/>
      <c r="V616" s="241"/>
      <c r="W616" s="241"/>
      <c r="X616" s="241"/>
      <c r="Y616" s="241"/>
      <c r="Z616" s="241"/>
    </row>
    <row r="617" spans="3:26" ht="16.5">
      <c r="C617" s="101"/>
      <c r="D617" s="101"/>
      <c r="E617" s="101"/>
      <c r="F617" s="101"/>
      <c r="G617" s="101"/>
      <c r="H617" s="101"/>
      <c r="I617" s="101"/>
      <c r="J617" s="101"/>
      <c r="S617" s="101"/>
      <c r="T617" s="241"/>
      <c r="U617" s="241"/>
      <c r="V617" s="241"/>
      <c r="W617" s="241"/>
      <c r="X617" s="241"/>
      <c r="Y617" s="241"/>
      <c r="Z617" s="241"/>
    </row>
    <row r="618" spans="3:26" ht="16.5">
      <c r="C618" s="101"/>
      <c r="D618" s="101"/>
      <c r="E618" s="101"/>
      <c r="F618" s="101"/>
      <c r="G618" s="101"/>
      <c r="H618" s="101"/>
      <c r="I618" s="101"/>
      <c r="J618" s="101"/>
      <c r="S618" s="101"/>
      <c r="T618" s="241"/>
      <c r="U618" s="241"/>
      <c r="V618" s="241"/>
      <c r="W618" s="241"/>
      <c r="X618" s="241"/>
      <c r="Y618" s="241"/>
      <c r="Z618" s="241"/>
    </row>
    <row r="619" spans="3:26" ht="16.5">
      <c r="C619" s="101"/>
      <c r="D619" s="101"/>
      <c r="E619" s="101"/>
      <c r="F619" s="101"/>
      <c r="G619" s="101"/>
      <c r="H619" s="101"/>
      <c r="I619" s="101"/>
      <c r="J619" s="101"/>
      <c r="S619" s="101"/>
      <c r="T619" s="241"/>
      <c r="U619" s="241"/>
      <c r="V619" s="241"/>
      <c r="W619" s="241"/>
      <c r="X619" s="241"/>
      <c r="Y619" s="241"/>
      <c r="Z619" s="241"/>
    </row>
    <row r="620" spans="3:26" ht="16.5">
      <c r="C620" s="101"/>
      <c r="D620" s="101"/>
      <c r="E620" s="101"/>
      <c r="F620" s="101"/>
      <c r="G620" s="101"/>
      <c r="H620" s="101"/>
      <c r="I620" s="101"/>
      <c r="J620" s="101"/>
      <c r="S620" s="101"/>
      <c r="T620" s="241"/>
      <c r="U620" s="241"/>
      <c r="V620" s="241"/>
      <c r="W620" s="241"/>
      <c r="X620" s="241"/>
      <c r="Y620" s="241"/>
      <c r="Z620" s="241"/>
    </row>
    <row r="621" spans="3:26" ht="16.5">
      <c r="C621" s="101"/>
      <c r="D621" s="101"/>
      <c r="E621" s="101"/>
      <c r="F621" s="101"/>
      <c r="G621" s="101"/>
      <c r="H621" s="101"/>
      <c r="I621" s="101"/>
      <c r="J621" s="101"/>
      <c r="S621" s="101"/>
      <c r="T621" s="241"/>
      <c r="U621" s="241"/>
      <c r="V621" s="241"/>
      <c r="W621" s="241"/>
      <c r="X621" s="241"/>
      <c r="Y621" s="241"/>
      <c r="Z621" s="241"/>
    </row>
    <row r="622" spans="3:26" ht="16.5">
      <c r="C622" s="101"/>
      <c r="D622" s="101"/>
      <c r="E622" s="101"/>
      <c r="F622" s="101"/>
      <c r="G622" s="101"/>
      <c r="H622" s="101"/>
      <c r="I622" s="101"/>
      <c r="J622" s="101"/>
      <c r="S622" s="101"/>
      <c r="T622" s="241"/>
      <c r="U622" s="241"/>
      <c r="V622" s="241"/>
      <c r="W622" s="241"/>
      <c r="X622" s="241"/>
      <c r="Y622" s="241"/>
      <c r="Z622" s="241"/>
    </row>
    <row r="623" spans="3:26" ht="16.5">
      <c r="C623" s="101"/>
      <c r="D623" s="101"/>
      <c r="E623" s="101"/>
      <c r="F623" s="101"/>
      <c r="G623" s="101"/>
      <c r="H623" s="101"/>
      <c r="I623" s="101"/>
      <c r="J623" s="101"/>
      <c r="S623" s="101"/>
      <c r="T623" s="241"/>
      <c r="U623" s="241"/>
      <c r="V623" s="241"/>
      <c r="W623" s="241"/>
      <c r="X623" s="241"/>
      <c r="Y623" s="241"/>
      <c r="Z623" s="241"/>
    </row>
    <row r="624" spans="3:26" ht="16.5">
      <c r="C624" s="101"/>
      <c r="D624" s="101"/>
      <c r="E624" s="101"/>
      <c r="F624" s="101"/>
      <c r="G624" s="101"/>
      <c r="H624" s="101"/>
      <c r="I624" s="101"/>
      <c r="J624" s="101"/>
      <c r="S624" s="101"/>
      <c r="T624" s="241"/>
      <c r="U624" s="241"/>
      <c r="V624" s="241"/>
      <c r="W624" s="241"/>
      <c r="X624" s="241"/>
      <c r="Y624" s="241"/>
      <c r="Z624" s="241"/>
    </row>
    <row r="625" spans="3:26" ht="16.5">
      <c r="C625" s="101"/>
      <c r="D625" s="101"/>
      <c r="E625" s="101"/>
      <c r="F625" s="101"/>
      <c r="G625" s="101"/>
      <c r="H625" s="101"/>
      <c r="I625" s="101"/>
      <c r="J625" s="101"/>
      <c r="S625" s="101"/>
      <c r="T625" s="241"/>
      <c r="U625" s="241"/>
      <c r="V625" s="241"/>
      <c r="W625" s="241"/>
      <c r="X625" s="241"/>
      <c r="Y625" s="241"/>
      <c r="Z625" s="241"/>
    </row>
    <row r="626" spans="3:26" ht="16.5">
      <c r="C626" s="101"/>
      <c r="D626" s="101"/>
      <c r="E626" s="101"/>
      <c r="F626" s="101"/>
      <c r="G626" s="101"/>
      <c r="H626" s="101"/>
      <c r="I626" s="101"/>
      <c r="J626" s="101"/>
      <c r="S626" s="101"/>
      <c r="T626" s="241"/>
      <c r="U626" s="241"/>
      <c r="V626" s="241"/>
      <c r="W626" s="241"/>
      <c r="X626" s="241"/>
      <c r="Y626" s="241"/>
      <c r="Z626" s="241"/>
    </row>
    <row r="627" spans="3:26" ht="16.5">
      <c r="C627" s="101"/>
      <c r="D627" s="101"/>
      <c r="E627" s="101"/>
      <c r="F627" s="101"/>
      <c r="G627" s="101"/>
      <c r="H627" s="101"/>
      <c r="I627" s="101"/>
      <c r="J627" s="101"/>
      <c r="S627" s="101"/>
      <c r="T627" s="241"/>
      <c r="U627" s="241"/>
      <c r="V627" s="241"/>
      <c r="W627" s="241"/>
      <c r="X627" s="241"/>
      <c r="Y627" s="241"/>
      <c r="Z627" s="241"/>
    </row>
    <row r="628" spans="3:26" ht="16.5">
      <c r="C628" s="101"/>
      <c r="D628" s="101"/>
      <c r="E628" s="101"/>
      <c r="F628" s="101"/>
      <c r="G628" s="101"/>
      <c r="H628" s="101"/>
      <c r="I628" s="101"/>
      <c r="J628" s="101"/>
      <c r="S628" s="101"/>
      <c r="T628" s="241"/>
      <c r="U628" s="241"/>
      <c r="V628" s="241"/>
      <c r="W628" s="241"/>
      <c r="X628" s="241"/>
      <c r="Y628" s="241"/>
      <c r="Z628" s="241"/>
    </row>
    <row r="629" spans="3:26" ht="16.5">
      <c r="C629" s="101"/>
      <c r="D629" s="101"/>
      <c r="E629" s="101"/>
      <c r="F629" s="101"/>
      <c r="G629" s="101"/>
      <c r="H629" s="101"/>
      <c r="I629" s="101"/>
      <c r="J629" s="101"/>
      <c r="S629" s="101"/>
      <c r="T629" s="241"/>
      <c r="U629" s="241"/>
      <c r="V629" s="241"/>
      <c r="W629" s="241"/>
      <c r="X629" s="241"/>
      <c r="Y629" s="241"/>
      <c r="Z629" s="241"/>
    </row>
    <row r="630" spans="3:26" ht="16.5">
      <c r="C630" s="101"/>
      <c r="D630" s="101"/>
      <c r="E630" s="101"/>
      <c r="F630" s="101"/>
      <c r="G630" s="101"/>
      <c r="H630" s="101"/>
      <c r="I630" s="101"/>
      <c r="J630" s="101"/>
      <c r="S630" s="101"/>
      <c r="T630" s="241"/>
      <c r="U630" s="241"/>
      <c r="V630" s="241"/>
      <c r="W630" s="241"/>
      <c r="X630" s="241"/>
      <c r="Y630" s="241"/>
      <c r="Z630" s="241"/>
    </row>
    <row r="631" spans="3:26" ht="16.5">
      <c r="C631" s="101"/>
      <c r="D631" s="101"/>
      <c r="E631" s="101"/>
      <c r="F631" s="101"/>
      <c r="G631" s="101"/>
      <c r="H631" s="101"/>
      <c r="I631" s="101"/>
      <c r="J631" s="101"/>
      <c r="S631" s="101"/>
      <c r="T631" s="241"/>
      <c r="U631" s="241"/>
      <c r="V631" s="241"/>
      <c r="W631" s="241"/>
      <c r="X631" s="241"/>
      <c r="Y631" s="241"/>
      <c r="Z631" s="241"/>
    </row>
    <row r="632" spans="3:26" ht="16.5">
      <c r="C632" s="101"/>
      <c r="D632" s="101"/>
      <c r="E632" s="101"/>
      <c r="F632" s="101"/>
      <c r="G632" s="101"/>
      <c r="H632" s="101"/>
      <c r="I632" s="101"/>
      <c r="J632" s="101"/>
      <c r="S632" s="101"/>
      <c r="T632" s="241"/>
      <c r="U632" s="241"/>
      <c r="V632" s="241"/>
      <c r="W632" s="241"/>
      <c r="X632" s="241"/>
      <c r="Y632" s="241"/>
      <c r="Z632" s="241"/>
    </row>
    <row r="633" spans="3:26" ht="16.5">
      <c r="C633" s="101"/>
      <c r="D633" s="101"/>
      <c r="E633" s="101"/>
      <c r="F633" s="101"/>
      <c r="G633" s="101"/>
      <c r="H633" s="101"/>
      <c r="I633" s="101"/>
      <c r="J633" s="101"/>
      <c r="S633" s="101"/>
      <c r="T633" s="241"/>
      <c r="U633" s="241"/>
      <c r="V633" s="241"/>
      <c r="W633" s="241"/>
      <c r="X633" s="241"/>
      <c r="Y633" s="241"/>
      <c r="Z633" s="241"/>
    </row>
    <row r="634" spans="3:26" ht="16.5">
      <c r="C634" s="101"/>
      <c r="D634" s="101"/>
      <c r="E634" s="101"/>
      <c r="F634" s="101"/>
      <c r="G634" s="101"/>
      <c r="H634" s="101"/>
      <c r="I634" s="101"/>
      <c r="J634" s="101"/>
      <c r="S634" s="101"/>
      <c r="T634" s="241"/>
      <c r="U634" s="241"/>
      <c r="V634" s="241"/>
      <c r="W634" s="241"/>
      <c r="X634" s="241"/>
      <c r="Y634" s="241"/>
      <c r="Z634" s="241"/>
    </row>
    <row r="635" spans="3:26" ht="16.5">
      <c r="C635" s="101"/>
      <c r="D635" s="101"/>
      <c r="E635" s="101"/>
      <c r="F635" s="101"/>
      <c r="G635" s="101"/>
      <c r="H635" s="101"/>
      <c r="I635" s="101"/>
      <c r="J635" s="101"/>
      <c r="S635" s="101"/>
      <c r="T635" s="241"/>
      <c r="U635" s="241"/>
      <c r="V635" s="241"/>
      <c r="W635" s="241"/>
      <c r="X635" s="241"/>
      <c r="Y635" s="241"/>
      <c r="Z635" s="241"/>
    </row>
    <row r="636" spans="3:26" ht="16.5">
      <c r="C636" s="101"/>
      <c r="D636" s="101"/>
      <c r="E636" s="101"/>
      <c r="F636" s="101"/>
      <c r="G636" s="101"/>
      <c r="H636" s="101"/>
      <c r="I636" s="101"/>
      <c r="J636" s="101"/>
      <c r="S636" s="101"/>
      <c r="T636" s="241"/>
      <c r="U636" s="241"/>
      <c r="V636" s="241"/>
      <c r="W636" s="241"/>
      <c r="X636" s="241"/>
      <c r="Y636" s="241"/>
      <c r="Z636" s="241"/>
    </row>
    <row r="637" spans="3:26" ht="16.5">
      <c r="C637" s="101"/>
      <c r="D637" s="101"/>
      <c r="E637" s="101"/>
      <c r="F637" s="101"/>
      <c r="G637" s="101"/>
      <c r="H637" s="101"/>
      <c r="I637" s="101"/>
      <c r="J637" s="101"/>
      <c r="S637" s="101"/>
      <c r="T637" s="241"/>
      <c r="U637" s="241"/>
      <c r="V637" s="241"/>
      <c r="W637" s="241"/>
      <c r="X637" s="241"/>
      <c r="Y637" s="241"/>
      <c r="Z637" s="241"/>
    </row>
    <row r="638" spans="3:26" ht="16.5">
      <c r="C638" s="101"/>
      <c r="D638" s="101"/>
      <c r="E638" s="101"/>
      <c r="F638" s="101"/>
      <c r="G638" s="101"/>
      <c r="H638" s="101"/>
      <c r="I638" s="101"/>
      <c r="J638" s="101"/>
      <c r="S638" s="101"/>
      <c r="T638" s="241"/>
      <c r="U638" s="241"/>
      <c r="V638" s="241"/>
      <c r="W638" s="241"/>
      <c r="X638" s="241"/>
      <c r="Y638" s="241"/>
      <c r="Z638" s="241"/>
    </row>
    <row r="639" spans="3:26" ht="16.5">
      <c r="C639" s="101"/>
      <c r="D639" s="101"/>
      <c r="E639" s="101"/>
      <c r="F639" s="101"/>
      <c r="G639" s="101"/>
      <c r="H639" s="101"/>
      <c r="I639" s="101"/>
      <c r="J639" s="101"/>
      <c r="S639" s="101"/>
      <c r="T639" s="241"/>
      <c r="U639" s="241"/>
      <c r="V639" s="241"/>
      <c r="W639" s="241"/>
      <c r="X639" s="241"/>
      <c r="Y639" s="241"/>
      <c r="Z639" s="241"/>
    </row>
    <row r="640" spans="3:26" ht="16.5">
      <c r="C640" s="101"/>
      <c r="D640" s="101"/>
      <c r="E640" s="101"/>
      <c r="F640" s="101"/>
      <c r="G640" s="101"/>
      <c r="H640" s="101"/>
      <c r="I640" s="101"/>
      <c r="J640" s="101"/>
      <c r="S640" s="101"/>
      <c r="T640" s="241"/>
      <c r="U640" s="241"/>
      <c r="V640" s="241"/>
      <c r="W640" s="241"/>
      <c r="X640" s="241"/>
      <c r="Y640" s="241"/>
      <c r="Z640" s="241"/>
    </row>
    <row r="641" spans="3:26" ht="16.5">
      <c r="C641" s="101"/>
      <c r="D641" s="101"/>
      <c r="E641" s="101"/>
      <c r="F641" s="101"/>
      <c r="G641" s="101"/>
      <c r="H641" s="101"/>
      <c r="I641" s="101"/>
      <c r="J641" s="101"/>
      <c r="S641" s="101"/>
      <c r="T641" s="241"/>
      <c r="U641" s="241"/>
      <c r="V641" s="241"/>
      <c r="W641" s="241"/>
      <c r="X641" s="241"/>
      <c r="Y641" s="241"/>
      <c r="Z641" s="241"/>
    </row>
    <row r="642" spans="3:26" ht="16.5">
      <c r="C642" s="101"/>
      <c r="D642" s="101"/>
      <c r="E642" s="101"/>
      <c r="F642" s="101"/>
      <c r="G642" s="101"/>
      <c r="H642" s="101"/>
      <c r="I642" s="101"/>
      <c r="J642" s="101"/>
      <c r="S642" s="101"/>
      <c r="T642" s="241"/>
      <c r="U642" s="241"/>
      <c r="V642" s="241"/>
      <c r="W642" s="241"/>
      <c r="X642" s="241"/>
      <c r="Y642" s="241"/>
      <c r="Z642" s="241"/>
    </row>
    <row r="643" spans="3:26" ht="16.5">
      <c r="C643" s="101"/>
      <c r="D643" s="101"/>
      <c r="E643" s="101"/>
      <c r="F643" s="101"/>
      <c r="G643" s="101"/>
      <c r="H643" s="101"/>
      <c r="I643" s="101"/>
      <c r="J643" s="101"/>
      <c r="S643" s="101"/>
      <c r="T643" s="241"/>
      <c r="U643" s="241"/>
      <c r="V643" s="241"/>
      <c r="W643" s="241"/>
      <c r="X643" s="241"/>
      <c r="Y643" s="241"/>
      <c r="Z643" s="241"/>
    </row>
    <row r="644" spans="3:26" ht="16.5">
      <c r="C644" s="101"/>
      <c r="D644" s="101"/>
      <c r="E644" s="101"/>
      <c r="F644" s="101"/>
      <c r="G644" s="101"/>
      <c r="H644" s="101"/>
      <c r="I644" s="101"/>
      <c r="J644" s="101"/>
      <c r="S644" s="101"/>
      <c r="T644" s="241"/>
      <c r="U644" s="241"/>
      <c r="V644" s="241"/>
      <c r="W644" s="241"/>
      <c r="X644" s="241"/>
      <c r="Y644" s="241"/>
      <c r="Z644" s="241"/>
    </row>
    <row r="645" spans="3:26" ht="16.5">
      <c r="C645" s="101"/>
      <c r="D645" s="101"/>
      <c r="E645" s="101"/>
      <c r="F645" s="101"/>
      <c r="G645" s="101"/>
      <c r="H645" s="101"/>
      <c r="I645" s="101"/>
      <c r="J645" s="101"/>
      <c r="S645" s="101"/>
      <c r="T645" s="241"/>
      <c r="U645" s="241"/>
      <c r="V645" s="241"/>
      <c r="W645" s="241"/>
      <c r="X645" s="241"/>
      <c r="Y645" s="241"/>
      <c r="Z645" s="241"/>
    </row>
    <row r="646" spans="3:26" ht="16.5">
      <c r="C646" s="101"/>
      <c r="D646" s="101"/>
      <c r="E646" s="101"/>
      <c r="F646" s="101"/>
      <c r="G646" s="101"/>
      <c r="H646" s="101"/>
      <c r="I646" s="101"/>
      <c r="J646" s="101"/>
      <c r="S646" s="101"/>
      <c r="T646" s="241"/>
      <c r="U646" s="241"/>
      <c r="V646" s="241"/>
      <c r="W646" s="241"/>
      <c r="X646" s="241"/>
      <c r="Y646" s="241"/>
      <c r="Z646" s="241"/>
    </row>
    <row r="647" spans="3:26" ht="16.5">
      <c r="C647" s="101"/>
      <c r="D647" s="101"/>
      <c r="E647" s="101"/>
      <c r="F647" s="101"/>
      <c r="G647" s="101"/>
      <c r="H647" s="101"/>
      <c r="I647" s="101"/>
      <c r="J647" s="101"/>
      <c r="S647" s="101"/>
      <c r="T647" s="241"/>
      <c r="U647" s="241"/>
      <c r="V647" s="241"/>
      <c r="W647" s="241"/>
      <c r="X647" s="241"/>
      <c r="Y647" s="241"/>
      <c r="Z647" s="241"/>
    </row>
    <row r="648" spans="3:26" ht="16.5">
      <c r="C648" s="101"/>
      <c r="D648" s="101"/>
      <c r="E648" s="101"/>
      <c r="F648" s="101"/>
      <c r="G648" s="101"/>
      <c r="H648" s="101"/>
      <c r="I648" s="101"/>
      <c r="J648" s="101"/>
      <c r="S648" s="101"/>
      <c r="T648" s="241"/>
      <c r="U648" s="241"/>
      <c r="V648" s="241"/>
      <c r="W648" s="241"/>
      <c r="X648" s="241"/>
      <c r="Y648" s="241"/>
      <c r="Z648" s="241"/>
    </row>
    <row r="649" spans="3:26" ht="16.5">
      <c r="C649" s="101"/>
      <c r="D649" s="101"/>
      <c r="E649" s="101"/>
      <c r="F649" s="101"/>
      <c r="G649" s="101"/>
      <c r="H649" s="101"/>
      <c r="I649" s="101"/>
      <c r="J649" s="101"/>
      <c r="S649" s="101"/>
      <c r="T649" s="241"/>
      <c r="U649" s="241"/>
      <c r="V649" s="241"/>
      <c r="W649" s="241"/>
      <c r="X649" s="241"/>
      <c r="Y649" s="241"/>
      <c r="Z649" s="241"/>
    </row>
    <row r="650" spans="3:26" ht="16.5">
      <c r="C650" s="101"/>
      <c r="D650" s="101"/>
      <c r="E650" s="101"/>
      <c r="F650" s="101"/>
      <c r="G650" s="101"/>
      <c r="H650" s="101"/>
      <c r="I650" s="101"/>
      <c r="J650" s="101"/>
      <c r="S650" s="101"/>
      <c r="T650" s="241"/>
      <c r="U650" s="241"/>
      <c r="V650" s="241"/>
      <c r="W650" s="241"/>
      <c r="X650" s="241"/>
      <c r="Y650" s="241"/>
      <c r="Z650" s="241"/>
    </row>
    <row r="651" spans="3:26" ht="16.5">
      <c r="C651" s="101"/>
      <c r="D651" s="101"/>
      <c r="E651" s="101"/>
      <c r="F651" s="101"/>
      <c r="G651" s="101"/>
      <c r="H651" s="101"/>
      <c r="I651" s="101"/>
      <c r="J651" s="101"/>
      <c r="S651" s="101"/>
      <c r="T651" s="241"/>
      <c r="U651" s="241"/>
      <c r="V651" s="241"/>
      <c r="W651" s="241"/>
      <c r="X651" s="241"/>
      <c r="Y651" s="241"/>
      <c r="Z651" s="241"/>
    </row>
    <row r="652" spans="3:26" ht="16.5">
      <c r="C652" s="101"/>
      <c r="D652" s="101"/>
      <c r="E652" s="101"/>
      <c r="F652" s="101"/>
      <c r="G652" s="101"/>
      <c r="H652" s="101"/>
      <c r="I652" s="101"/>
      <c r="J652" s="101"/>
      <c r="S652" s="101"/>
      <c r="T652" s="241"/>
      <c r="U652" s="241"/>
      <c r="V652" s="241"/>
      <c r="W652" s="241"/>
      <c r="X652" s="241"/>
      <c r="Y652" s="241"/>
      <c r="Z652" s="241"/>
    </row>
    <row r="653" spans="3:26" ht="16.5">
      <c r="C653" s="101"/>
      <c r="D653" s="101"/>
      <c r="E653" s="101"/>
      <c r="F653" s="101"/>
      <c r="G653" s="101"/>
      <c r="H653" s="101"/>
      <c r="I653" s="101"/>
      <c r="J653" s="101"/>
      <c r="S653" s="101"/>
      <c r="T653" s="241"/>
      <c r="U653" s="241"/>
      <c r="V653" s="241"/>
      <c r="W653" s="241"/>
      <c r="X653" s="241"/>
      <c r="Y653" s="241"/>
      <c r="Z653" s="241"/>
    </row>
    <row r="654" spans="3:26" ht="16.5">
      <c r="C654" s="101"/>
      <c r="D654" s="101"/>
      <c r="E654" s="101"/>
      <c r="F654" s="101"/>
      <c r="G654" s="101"/>
      <c r="H654" s="101"/>
      <c r="I654" s="101"/>
      <c r="J654" s="101"/>
      <c r="S654" s="101"/>
      <c r="T654" s="241"/>
      <c r="U654" s="241"/>
      <c r="V654" s="241"/>
      <c r="W654" s="241"/>
      <c r="X654" s="241"/>
      <c r="Y654" s="241"/>
      <c r="Z654" s="241"/>
    </row>
    <row r="655" spans="3:26" ht="16.5">
      <c r="C655" s="101"/>
      <c r="D655" s="101"/>
      <c r="E655" s="101"/>
      <c r="F655" s="101"/>
      <c r="G655" s="101"/>
      <c r="H655" s="101"/>
      <c r="I655" s="101"/>
      <c r="J655" s="101"/>
      <c r="S655" s="101"/>
      <c r="T655" s="241"/>
      <c r="U655" s="241"/>
      <c r="V655" s="241"/>
      <c r="W655" s="241"/>
      <c r="X655" s="241"/>
      <c r="Y655" s="241"/>
      <c r="Z655" s="241"/>
    </row>
    <row r="656" spans="3:26" ht="16.5">
      <c r="C656" s="101"/>
      <c r="D656" s="101"/>
      <c r="E656" s="101"/>
      <c r="F656" s="101"/>
      <c r="G656" s="101"/>
      <c r="H656" s="101"/>
      <c r="I656" s="101"/>
      <c r="J656" s="101"/>
      <c r="S656" s="101"/>
      <c r="T656" s="241"/>
      <c r="U656" s="241"/>
      <c r="V656" s="241"/>
      <c r="W656" s="241"/>
      <c r="X656" s="241"/>
      <c r="Y656" s="241"/>
      <c r="Z656" s="241"/>
    </row>
    <row r="657" spans="3:26" ht="16.5">
      <c r="C657" s="101"/>
      <c r="D657" s="101"/>
      <c r="E657" s="101"/>
      <c r="F657" s="101"/>
      <c r="G657" s="101"/>
      <c r="H657" s="101"/>
      <c r="I657" s="101"/>
      <c r="J657" s="101"/>
      <c r="S657" s="101"/>
      <c r="T657" s="241"/>
      <c r="U657" s="241"/>
      <c r="V657" s="241"/>
      <c r="W657" s="241"/>
      <c r="X657" s="241"/>
      <c r="Y657" s="241"/>
      <c r="Z657" s="241"/>
    </row>
    <row r="658" spans="3:26" ht="16.5">
      <c r="C658" s="101"/>
      <c r="D658" s="101"/>
      <c r="E658" s="101"/>
      <c r="F658" s="101"/>
      <c r="G658" s="101"/>
      <c r="H658" s="101"/>
      <c r="I658" s="101"/>
      <c r="J658" s="101"/>
      <c r="S658" s="101"/>
      <c r="T658" s="241"/>
      <c r="U658" s="241"/>
      <c r="V658" s="241"/>
      <c r="W658" s="241"/>
      <c r="X658" s="241"/>
      <c r="Y658" s="241"/>
      <c r="Z658" s="241"/>
    </row>
    <row r="659" spans="3:26" ht="16.5">
      <c r="C659" s="101"/>
      <c r="D659" s="101"/>
      <c r="E659" s="101"/>
      <c r="F659" s="101"/>
      <c r="G659" s="101"/>
      <c r="H659" s="101"/>
      <c r="I659" s="101"/>
      <c r="J659" s="101"/>
      <c r="S659" s="101"/>
      <c r="T659" s="241"/>
      <c r="U659" s="241"/>
      <c r="V659" s="241"/>
      <c r="W659" s="241"/>
      <c r="X659" s="241"/>
      <c r="Y659" s="241"/>
      <c r="Z659" s="241"/>
    </row>
    <row r="660" spans="3:26" ht="16.5">
      <c r="C660" s="101"/>
      <c r="D660" s="101"/>
      <c r="E660" s="101"/>
      <c r="F660" s="101"/>
      <c r="G660" s="101"/>
      <c r="H660" s="101"/>
      <c r="I660" s="101"/>
      <c r="J660" s="101"/>
      <c r="S660" s="101"/>
      <c r="T660" s="241"/>
      <c r="U660" s="241"/>
      <c r="V660" s="241"/>
      <c r="W660" s="241"/>
      <c r="X660" s="241"/>
      <c r="Y660" s="241"/>
      <c r="Z660" s="241"/>
    </row>
    <row r="661" spans="3:26" ht="16.5">
      <c r="C661" s="101"/>
      <c r="D661" s="101"/>
      <c r="E661" s="101"/>
      <c r="F661" s="101"/>
      <c r="G661" s="101"/>
      <c r="H661" s="101"/>
      <c r="I661" s="101"/>
      <c r="J661" s="101"/>
      <c r="S661" s="101"/>
      <c r="T661" s="241"/>
      <c r="U661" s="241"/>
      <c r="V661" s="241"/>
      <c r="W661" s="241"/>
      <c r="X661" s="241"/>
      <c r="Y661" s="241"/>
      <c r="Z661" s="241"/>
    </row>
    <row r="662" spans="3:26" ht="16.5">
      <c r="C662" s="101"/>
      <c r="D662" s="101"/>
      <c r="E662" s="101"/>
      <c r="F662" s="101"/>
      <c r="G662" s="101"/>
      <c r="H662" s="101"/>
      <c r="I662" s="101"/>
      <c r="J662" s="101"/>
      <c r="S662" s="101"/>
      <c r="T662" s="241"/>
      <c r="U662" s="241"/>
      <c r="V662" s="241"/>
      <c r="W662" s="241"/>
      <c r="X662" s="241"/>
      <c r="Y662" s="241"/>
      <c r="Z662" s="241"/>
    </row>
    <row r="663" spans="3:26" ht="16.5">
      <c r="C663" s="101"/>
      <c r="D663" s="101"/>
      <c r="E663" s="101"/>
      <c r="F663" s="101"/>
      <c r="G663" s="101"/>
      <c r="H663" s="101"/>
      <c r="I663" s="101"/>
      <c r="J663" s="101"/>
      <c r="S663" s="101"/>
      <c r="T663" s="241"/>
      <c r="U663" s="241"/>
      <c r="V663" s="241"/>
      <c r="W663" s="241"/>
      <c r="X663" s="241"/>
      <c r="Y663" s="241"/>
      <c r="Z663" s="241"/>
    </row>
    <row r="664" spans="3:26" ht="16.5">
      <c r="C664" s="101"/>
      <c r="D664" s="101"/>
      <c r="E664" s="101"/>
      <c r="F664" s="101"/>
      <c r="G664" s="101"/>
      <c r="H664" s="101"/>
      <c r="I664" s="101"/>
      <c r="J664" s="101"/>
      <c r="S664" s="101"/>
      <c r="T664" s="241"/>
      <c r="U664" s="241"/>
      <c r="V664" s="241"/>
      <c r="W664" s="241"/>
      <c r="X664" s="241"/>
      <c r="Y664" s="241"/>
      <c r="Z664" s="241"/>
    </row>
    <row r="665" spans="3:26" ht="16.5">
      <c r="C665" s="101"/>
      <c r="D665" s="101"/>
      <c r="E665" s="101"/>
      <c r="F665" s="101"/>
      <c r="G665" s="101"/>
      <c r="H665" s="101"/>
      <c r="I665" s="101"/>
      <c r="J665" s="101"/>
      <c r="S665" s="101"/>
      <c r="T665" s="241"/>
      <c r="U665" s="241"/>
      <c r="V665" s="241"/>
      <c r="W665" s="241"/>
      <c r="X665" s="241"/>
      <c r="Y665" s="241"/>
      <c r="Z665" s="241"/>
    </row>
    <row r="666" spans="3:26" ht="16.5">
      <c r="C666" s="101"/>
      <c r="D666" s="101"/>
      <c r="E666" s="101"/>
      <c r="F666" s="101"/>
      <c r="G666" s="101"/>
      <c r="H666" s="101"/>
      <c r="I666" s="101"/>
      <c r="J666" s="101"/>
      <c r="S666" s="101"/>
      <c r="T666" s="241"/>
      <c r="U666" s="241"/>
      <c r="V666" s="241"/>
      <c r="W666" s="241"/>
      <c r="X666" s="241"/>
      <c r="Y666" s="241"/>
      <c r="Z666" s="241"/>
    </row>
    <row r="667" spans="3:26" ht="16.5">
      <c r="C667" s="101"/>
      <c r="D667" s="101"/>
      <c r="E667" s="101"/>
      <c r="F667" s="101"/>
      <c r="G667" s="101"/>
      <c r="H667" s="101"/>
      <c r="I667" s="101"/>
      <c r="J667" s="101"/>
      <c r="S667" s="101"/>
      <c r="T667" s="241"/>
      <c r="U667" s="241"/>
      <c r="V667" s="241"/>
      <c r="W667" s="241"/>
      <c r="X667" s="241"/>
      <c r="Y667" s="241"/>
      <c r="Z667" s="241"/>
    </row>
    <row r="668" spans="3:26" ht="16.5">
      <c r="C668" s="101"/>
      <c r="D668" s="101"/>
      <c r="E668" s="101"/>
      <c r="F668" s="101"/>
      <c r="G668" s="101"/>
      <c r="H668" s="101"/>
      <c r="I668" s="101"/>
      <c r="J668" s="101"/>
      <c r="S668" s="101"/>
      <c r="T668" s="241"/>
      <c r="U668" s="241"/>
      <c r="V668" s="241"/>
      <c r="W668" s="241"/>
      <c r="X668" s="241"/>
      <c r="Y668" s="241"/>
      <c r="Z668" s="241"/>
    </row>
    <row r="669" spans="3:26" ht="16.5">
      <c r="C669" s="101"/>
      <c r="D669" s="101"/>
      <c r="E669" s="101"/>
      <c r="F669" s="101"/>
      <c r="G669" s="101"/>
      <c r="H669" s="101"/>
      <c r="I669" s="101"/>
      <c r="J669" s="101"/>
      <c r="S669" s="101"/>
      <c r="T669" s="241"/>
      <c r="U669" s="241"/>
      <c r="V669" s="241"/>
      <c r="W669" s="241"/>
      <c r="X669" s="241"/>
      <c r="Y669" s="241"/>
      <c r="Z669" s="241"/>
    </row>
    <row r="670" spans="3:26" ht="16.5">
      <c r="C670" s="101"/>
      <c r="D670" s="101"/>
      <c r="E670" s="101"/>
      <c r="F670" s="101"/>
      <c r="G670" s="101"/>
      <c r="H670" s="101"/>
      <c r="I670" s="101"/>
      <c r="J670" s="101"/>
      <c r="S670" s="101"/>
      <c r="T670" s="241"/>
      <c r="U670" s="241"/>
      <c r="V670" s="241"/>
      <c r="W670" s="241"/>
      <c r="X670" s="241"/>
      <c r="Y670" s="241"/>
      <c r="Z670" s="241"/>
    </row>
    <row r="671" spans="3:26" ht="16.5">
      <c r="C671" s="101"/>
      <c r="D671" s="101"/>
      <c r="E671" s="101"/>
      <c r="F671" s="101"/>
      <c r="G671" s="101"/>
      <c r="H671" s="101"/>
      <c r="I671" s="101"/>
      <c r="J671" s="101"/>
      <c r="S671" s="101"/>
      <c r="T671" s="241"/>
      <c r="U671" s="241"/>
      <c r="V671" s="241"/>
      <c r="W671" s="241"/>
      <c r="X671" s="241"/>
      <c r="Y671" s="241"/>
      <c r="Z671" s="241"/>
    </row>
    <row r="672" spans="3:26" ht="16.5">
      <c r="C672" s="101"/>
      <c r="D672" s="101"/>
      <c r="E672" s="101"/>
      <c r="F672" s="101"/>
      <c r="G672" s="101"/>
      <c r="H672" s="101"/>
      <c r="I672" s="101"/>
      <c r="J672" s="101"/>
      <c r="S672" s="101"/>
      <c r="T672" s="241"/>
      <c r="U672" s="241"/>
      <c r="V672" s="241"/>
      <c r="W672" s="241"/>
      <c r="X672" s="241"/>
      <c r="Y672" s="241"/>
      <c r="Z672" s="241"/>
    </row>
    <row r="673" spans="3:26" ht="16.5">
      <c r="C673" s="101"/>
      <c r="D673" s="101"/>
      <c r="E673" s="101"/>
      <c r="F673" s="101"/>
      <c r="G673" s="101"/>
      <c r="H673" s="101"/>
      <c r="I673" s="101"/>
      <c r="J673" s="101"/>
      <c r="S673" s="101"/>
      <c r="T673" s="241"/>
      <c r="U673" s="241"/>
      <c r="V673" s="241"/>
      <c r="W673" s="241"/>
      <c r="X673" s="241"/>
      <c r="Y673" s="241"/>
      <c r="Z673" s="241"/>
    </row>
    <row r="674" spans="3:26" ht="16.5">
      <c r="C674" s="101"/>
      <c r="D674" s="101"/>
      <c r="E674" s="101"/>
      <c r="F674" s="101"/>
      <c r="G674" s="101"/>
      <c r="H674" s="101"/>
      <c r="I674" s="101"/>
      <c r="J674" s="101"/>
      <c r="S674" s="101"/>
      <c r="T674" s="241"/>
      <c r="U674" s="241"/>
      <c r="V674" s="241"/>
      <c r="W674" s="241"/>
      <c r="X674" s="241"/>
      <c r="Y674" s="241"/>
      <c r="Z674" s="241"/>
    </row>
    <row r="675" spans="3:26" ht="16.5">
      <c r="C675" s="101"/>
      <c r="D675" s="101"/>
      <c r="E675" s="101"/>
      <c r="F675" s="101"/>
      <c r="G675" s="101"/>
      <c r="H675" s="101"/>
      <c r="I675" s="101"/>
      <c r="J675" s="101"/>
      <c r="S675" s="101"/>
      <c r="T675" s="241"/>
      <c r="U675" s="241"/>
      <c r="V675" s="241"/>
      <c r="W675" s="241"/>
      <c r="X675" s="241"/>
      <c r="Y675" s="241"/>
      <c r="Z675" s="241"/>
    </row>
    <row r="676" spans="3:26" ht="16.5">
      <c r="C676" s="101"/>
      <c r="D676" s="101"/>
      <c r="E676" s="101"/>
      <c r="F676" s="101"/>
      <c r="G676" s="101"/>
      <c r="H676" s="101"/>
      <c r="I676" s="101"/>
      <c r="J676" s="101"/>
      <c r="S676" s="101"/>
      <c r="T676" s="241"/>
      <c r="U676" s="241"/>
      <c r="V676" s="241"/>
      <c r="W676" s="241"/>
      <c r="X676" s="241"/>
      <c r="Y676" s="241"/>
      <c r="Z676" s="241"/>
    </row>
    <row r="677" spans="3:26" ht="16.5">
      <c r="C677" s="101"/>
      <c r="D677" s="101"/>
      <c r="E677" s="101"/>
      <c r="F677" s="101"/>
      <c r="G677" s="101"/>
      <c r="H677" s="101"/>
      <c r="I677" s="101"/>
      <c r="J677" s="101"/>
      <c r="S677" s="101"/>
      <c r="T677" s="241"/>
      <c r="U677" s="241"/>
      <c r="V677" s="241"/>
      <c r="W677" s="241"/>
      <c r="X677" s="241"/>
      <c r="Y677" s="241"/>
      <c r="Z677" s="241"/>
    </row>
    <row r="678" spans="3:26" ht="16.5">
      <c r="C678" s="101"/>
      <c r="D678" s="101"/>
      <c r="E678" s="101"/>
      <c r="F678" s="101"/>
      <c r="G678" s="101"/>
      <c r="H678" s="101"/>
      <c r="I678" s="101"/>
      <c r="J678" s="101"/>
      <c r="S678" s="101"/>
      <c r="T678" s="241"/>
      <c r="U678" s="241"/>
      <c r="V678" s="241"/>
      <c r="W678" s="241"/>
      <c r="X678" s="241"/>
      <c r="Y678" s="241"/>
      <c r="Z678" s="241"/>
    </row>
    <row r="679" spans="3:26" ht="16.5">
      <c r="C679" s="101"/>
      <c r="D679" s="101"/>
      <c r="E679" s="101"/>
      <c r="F679" s="101"/>
      <c r="G679" s="101"/>
      <c r="H679" s="101"/>
      <c r="I679" s="101"/>
      <c r="J679" s="101"/>
      <c r="S679" s="101"/>
      <c r="T679" s="241"/>
      <c r="U679" s="241"/>
      <c r="V679" s="241"/>
      <c r="W679" s="241"/>
      <c r="X679" s="241"/>
      <c r="Y679" s="241"/>
      <c r="Z679" s="241"/>
    </row>
    <row r="680" spans="3:26" ht="16.5">
      <c r="C680" s="101"/>
      <c r="D680" s="101"/>
      <c r="E680" s="101"/>
      <c r="F680" s="101"/>
      <c r="G680" s="101"/>
      <c r="H680" s="101"/>
      <c r="I680" s="101"/>
      <c r="J680" s="101"/>
      <c r="S680" s="101"/>
      <c r="T680" s="241"/>
      <c r="U680" s="241"/>
      <c r="V680" s="241"/>
      <c r="W680" s="241"/>
      <c r="X680" s="241"/>
      <c r="Y680" s="241"/>
      <c r="Z680" s="241"/>
    </row>
    <row r="681" spans="3:26" ht="16.5">
      <c r="C681" s="101"/>
      <c r="D681" s="101"/>
      <c r="E681" s="101"/>
      <c r="F681" s="101"/>
      <c r="G681" s="101"/>
      <c r="H681" s="101"/>
      <c r="I681" s="101"/>
      <c r="J681" s="101"/>
      <c r="S681" s="101"/>
      <c r="T681" s="241"/>
      <c r="U681" s="241"/>
      <c r="V681" s="241"/>
      <c r="W681" s="241"/>
      <c r="X681" s="241"/>
      <c r="Y681" s="241"/>
      <c r="Z681" s="241"/>
    </row>
    <row r="682" spans="3:26" ht="16.5">
      <c r="C682" s="101"/>
      <c r="D682" s="101"/>
      <c r="E682" s="101"/>
      <c r="F682" s="101"/>
      <c r="G682" s="101"/>
      <c r="H682" s="101"/>
      <c r="I682" s="101"/>
      <c r="J682" s="101"/>
      <c r="S682" s="101"/>
      <c r="T682" s="241"/>
      <c r="U682" s="241"/>
      <c r="V682" s="241"/>
      <c r="W682" s="241"/>
      <c r="X682" s="241"/>
      <c r="Y682" s="241"/>
      <c r="Z682" s="241"/>
    </row>
    <row r="683" spans="3:26" ht="16.5">
      <c r="C683" s="101"/>
      <c r="D683" s="101"/>
      <c r="E683" s="101"/>
      <c r="F683" s="101"/>
      <c r="G683" s="101"/>
      <c r="H683" s="101"/>
      <c r="I683" s="101"/>
      <c r="J683" s="101"/>
      <c r="S683" s="101"/>
      <c r="T683" s="241"/>
      <c r="U683" s="241"/>
      <c r="V683" s="241"/>
      <c r="W683" s="241"/>
      <c r="X683" s="241"/>
      <c r="Y683" s="241"/>
      <c r="Z683" s="241"/>
    </row>
    <row r="684" spans="3:26" ht="16.5">
      <c r="C684" s="101"/>
      <c r="D684" s="101"/>
      <c r="E684" s="101"/>
      <c r="F684" s="101"/>
      <c r="G684" s="101"/>
      <c r="H684" s="101"/>
      <c r="I684" s="101"/>
      <c r="J684" s="101"/>
      <c r="S684" s="101"/>
      <c r="T684" s="241"/>
      <c r="U684" s="241"/>
      <c r="V684" s="241"/>
      <c r="W684" s="241"/>
      <c r="X684" s="241"/>
      <c r="Y684" s="241"/>
      <c r="Z684" s="241"/>
    </row>
    <row r="685" spans="3:26" ht="16.5">
      <c r="C685" s="101"/>
      <c r="D685" s="101"/>
      <c r="E685" s="101"/>
      <c r="F685" s="101"/>
      <c r="G685" s="101"/>
      <c r="H685" s="101"/>
      <c r="I685" s="101"/>
      <c r="J685" s="101"/>
      <c r="S685" s="101"/>
      <c r="T685" s="241"/>
      <c r="U685" s="241"/>
      <c r="V685" s="241"/>
      <c r="W685" s="241"/>
      <c r="X685" s="241"/>
      <c r="Y685" s="241"/>
      <c r="Z685" s="241"/>
    </row>
    <row r="686" spans="3:26" ht="16.5">
      <c r="C686" s="101"/>
      <c r="D686" s="101"/>
      <c r="E686" s="101"/>
      <c r="F686" s="101"/>
      <c r="G686" s="101"/>
      <c r="H686" s="101"/>
      <c r="I686" s="101"/>
      <c r="J686" s="101"/>
      <c r="S686" s="101"/>
      <c r="T686" s="241"/>
      <c r="U686" s="241"/>
      <c r="V686" s="241"/>
      <c r="W686" s="241"/>
      <c r="X686" s="241"/>
      <c r="Y686" s="241"/>
      <c r="Z686" s="241"/>
    </row>
    <row r="687" spans="3:26" ht="16.5">
      <c r="C687" s="101"/>
      <c r="D687" s="101"/>
      <c r="E687" s="101"/>
      <c r="F687" s="101"/>
      <c r="G687" s="101"/>
      <c r="H687" s="101"/>
      <c r="I687" s="101"/>
      <c r="J687" s="101"/>
      <c r="S687" s="101"/>
      <c r="T687" s="241"/>
      <c r="U687" s="241"/>
      <c r="V687" s="241"/>
      <c r="W687" s="241"/>
      <c r="X687" s="241"/>
      <c r="Y687" s="241"/>
      <c r="Z687" s="241"/>
    </row>
    <row r="688" spans="3:26" ht="16.5">
      <c r="C688" s="101"/>
      <c r="D688" s="101"/>
      <c r="E688" s="101"/>
      <c r="F688" s="101"/>
      <c r="G688" s="101"/>
      <c r="H688" s="101"/>
      <c r="I688" s="101"/>
      <c r="J688" s="101"/>
      <c r="S688" s="101"/>
      <c r="T688" s="241"/>
      <c r="U688" s="241"/>
      <c r="V688" s="241"/>
      <c r="W688" s="241"/>
      <c r="X688" s="241"/>
      <c r="Y688" s="241"/>
      <c r="Z688" s="241"/>
    </row>
    <row r="689" spans="3:26" ht="16.5">
      <c r="C689" s="101"/>
      <c r="D689" s="101"/>
      <c r="E689" s="101"/>
      <c r="F689" s="101"/>
      <c r="G689" s="101"/>
      <c r="H689" s="101"/>
      <c r="I689" s="101"/>
      <c r="J689" s="101"/>
      <c r="S689" s="101"/>
      <c r="T689" s="241"/>
      <c r="U689" s="241"/>
      <c r="V689" s="241"/>
      <c r="W689" s="241"/>
      <c r="X689" s="241"/>
      <c r="Y689" s="241"/>
      <c r="Z689" s="241"/>
    </row>
    <row r="690" spans="3:26" ht="16.5">
      <c r="C690" s="101"/>
      <c r="D690" s="101"/>
      <c r="E690" s="101"/>
      <c r="F690" s="101"/>
      <c r="G690" s="101"/>
      <c r="H690" s="101"/>
      <c r="I690" s="101"/>
      <c r="J690" s="101"/>
      <c r="S690" s="101"/>
      <c r="T690" s="241"/>
      <c r="U690" s="241"/>
      <c r="V690" s="241"/>
      <c r="W690" s="241"/>
      <c r="X690" s="241"/>
      <c r="Y690" s="241"/>
      <c r="Z690" s="241"/>
    </row>
    <row r="691" spans="3:26" ht="16.5">
      <c r="C691" s="101"/>
      <c r="D691" s="101"/>
      <c r="E691" s="101"/>
      <c r="F691" s="101"/>
      <c r="G691" s="101"/>
      <c r="H691" s="101"/>
      <c r="I691" s="101"/>
      <c r="J691" s="101"/>
      <c r="S691" s="101"/>
      <c r="T691" s="241"/>
      <c r="U691" s="241"/>
      <c r="V691" s="241"/>
      <c r="W691" s="241"/>
      <c r="X691" s="241"/>
      <c r="Y691" s="241"/>
      <c r="Z691" s="241"/>
    </row>
    <row r="692" spans="3:26" ht="16.5">
      <c r="C692" s="101"/>
      <c r="D692" s="101"/>
      <c r="E692" s="101"/>
      <c r="F692" s="101"/>
      <c r="G692" s="101"/>
      <c r="H692" s="101"/>
      <c r="I692" s="101"/>
      <c r="J692" s="101"/>
      <c r="S692" s="101"/>
      <c r="T692" s="241"/>
      <c r="U692" s="241"/>
      <c r="V692" s="241"/>
      <c r="W692" s="241"/>
      <c r="X692" s="241"/>
      <c r="Y692" s="241"/>
      <c r="Z692" s="241"/>
    </row>
    <row r="693" spans="3:26" ht="16.5">
      <c r="C693" s="101"/>
      <c r="D693" s="101"/>
      <c r="E693" s="101"/>
      <c r="F693" s="101"/>
      <c r="G693" s="101"/>
      <c r="H693" s="101"/>
      <c r="I693" s="101"/>
      <c r="J693" s="101"/>
      <c r="S693" s="101"/>
      <c r="T693" s="241"/>
      <c r="U693" s="241"/>
      <c r="V693" s="241"/>
      <c r="W693" s="241"/>
      <c r="X693" s="241"/>
      <c r="Y693" s="241"/>
      <c r="Z693" s="241"/>
    </row>
    <row r="694" spans="3:26" ht="16.5">
      <c r="C694" s="101"/>
      <c r="D694" s="101"/>
      <c r="E694" s="101"/>
      <c r="F694" s="101"/>
      <c r="G694" s="101"/>
      <c r="H694" s="101"/>
      <c r="I694" s="101"/>
      <c r="J694" s="101"/>
      <c r="S694" s="101"/>
      <c r="T694" s="241"/>
      <c r="U694" s="241"/>
      <c r="V694" s="241"/>
      <c r="W694" s="241"/>
      <c r="X694" s="241"/>
      <c r="Y694" s="241"/>
      <c r="Z694" s="241"/>
    </row>
    <row r="695" spans="3:26" ht="16.5">
      <c r="C695" s="101"/>
      <c r="D695" s="101"/>
      <c r="E695" s="101"/>
      <c r="F695" s="101"/>
      <c r="G695" s="101"/>
      <c r="H695" s="101"/>
      <c r="I695" s="101"/>
      <c r="J695" s="101"/>
      <c r="S695" s="101"/>
      <c r="T695" s="241"/>
      <c r="U695" s="241"/>
      <c r="V695" s="241"/>
      <c r="W695" s="241"/>
      <c r="X695" s="241"/>
      <c r="Y695" s="241"/>
      <c r="Z695" s="241"/>
    </row>
    <row r="696" spans="3:26" ht="16.5">
      <c r="C696" s="101"/>
      <c r="D696" s="101"/>
      <c r="E696" s="101"/>
      <c r="F696" s="101"/>
      <c r="G696" s="101"/>
      <c r="H696" s="101"/>
      <c r="I696" s="101"/>
      <c r="J696" s="101"/>
      <c r="S696" s="101"/>
      <c r="T696" s="241"/>
      <c r="U696" s="241"/>
      <c r="V696" s="241"/>
      <c r="W696" s="241"/>
      <c r="X696" s="241"/>
      <c r="Y696" s="241"/>
      <c r="Z696" s="241"/>
    </row>
    <row r="697" spans="3:26" ht="16.5">
      <c r="C697" s="101"/>
      <c r="D697" s="101"/>
      <c r="E697" s="101"/>
      <c r="F697" s="101"/>
      <c r="G697" s="101"/>
      <c r="H697" s="101"/>
      <c r="I697" s="101"/>
      <c r="J697" s="101"/>
      <c r="S697" s="101"/>
      <c r="T697" s="241"/>
      <c r="U697" s="241"/>
      <c r="V697" s="241"/>
      <c r="W697" s="241"/>
      <c r="X697" s="241"/>
      <c r="Y697" s="241"/>
      <c r="Z697" s="241"/>
    </row>
    <row r="698" spans="3:26" ht="16.5">
      <c r="C698" s="101"/>
      <c r="D698" s="101"/>
      <c r="E698" s="101"/>
      <c r="F698" s="101"/>
      <c r="G698" s="101"/>
      <c r="H698" s="101"/>
      <c r="I698" s="101"/>
      <c r="J698" s="101"/>
      <c r="S698" s="101"/>
      <c r="T698" s="241"/>
      <c r="U698" s="241"/>
      <c r="V698" s="241"/>
      <c r="W698" s="241"/>
      <c r="X698" s="241"/>
      <c r="Y698" s="241"/>
      <c r="Z698" s="241"/>
    </row>
    <row r="699" spans="3:26" ht="16.5">
      <c r="C699" s="101"/>
      <c r="D699" s="101"/>
      <c r="E699" s="101"/>
      <c r="F699" s="101"/>
      <c r="G699" s="101"/>
      <c r="H699" s="101"/>
      <c r="I699" s="101"/>
      <c r="J699" s="101"/>
      <c r="S699" s="101"/>
      <c r="T699" s="241"/>
      <c r="U699" s="241"/>
      <c r="V699" s="241"/>
      <c r="W699" s="241"/>
      <c r="X699" s="241"/>
      <c r="Y699" s="241"/>
      <c r="Z699" s="241"/>
    </row>
    <row r="700" spans="3:26" ht="16.5">
      <c r="C700" s="101"/>
      <c r="D700" s="101"/>
      <c r="E700" s="101"/>
      <c r="F700" s="101"/>
      <c r="G700" s="101"/>
      <c r="H700" s="101"/>
      <c r="I700" s="101"/>
      <c r="J700" s="101"/>
      <c r="S700" s="101"/>
      <c r="T700" s="241"/>
      <c r="U700" s="241"/>
      <c r="V700" s="241"/>
      <c r="W700" s="241"/>
      <c r="X700" s="241"/>
      <c r="Y700" s="241"/>
      <c r="Z700" s="241"/>
    </row>
    <row r="701" spans="3:26" ht="16.5">
      <c r="C701" s="101"/>
      <c r="D701" s="101"/>
      <c r="E701" s="101"/>
      <c r="F701" s="101"/>
      <c r="G701" s="101"/>
      <c r="H701" s="101"/>
      <c r="I701" s="101"/>
      <c r="J701" s="101"/>
      <c r="S701" s="101"/>
      <c r="T701" s="241"/>
      <c r="U701" s="241"/>
      <c r="V701" s="241"/>
      <c r="W701" s="241"/>
      <c r="X701" s="241"/>
      <c r="Y701" s="241"/>
      <c r="Z701" s="241"/>
    </row>
    <row r="702" spans="3:26" ht="16.5">
      <c r="C702" s="101"/>
      <c r="D702" s="101"/>
      <c r="E702" s="101"/>
      <c r="F702" s="101"/>
      <c r="G702" s="101"/>
      <c r="H702" s="101"/>
      <c r="I702" s="101"/>
      <c r="J702" s="101"/>
      <c r="S702" s="101"/>
      <c r="T702" s="241"/>
      <c r="U702" s="241"/>
      <c r="V702" s="241"/>
      <c r="W702" s="241"/>
      <c r="X702" s="241"/>
      <c r="Y702" s="241"/>
      <c r="Z702" s="241"/>
    </row>
    <row r="703" spans="3:26" ht="16.5">
      <c r="C703" s="101"/>
      <c r="D703" s="101"/>
      <c r="E703" s="101"/>
      <c r="F703" s="101"/>
      <c r="G703" s="101"/>
      <c r="H703" s="101"/>
      <c r="I703" s="101"/>
      <c r="J703" s="101"/>
      <c r="S703" s="101"/>
      <c r="T703" s="241"/>
      <c r="U703" s="241"/>
      <c r="V703" s="241"/>
      <c r="W703" s="241"/>
      <c r="X703" s="241"/>
      <c r="Y703" s="241"/>
      <c r="Z703" s="241"/>
    </row>
    <row r="704" spans="3:26" ht="16.5">
      <c r="C704" s="101"/>
      <c r="D704" s="101"/>
      <c r="E704" s="101"/>
      <c r="F704" s="101"/>
      <c r="G704" s="101"/>
      <c r="H704" s="101"/>
      <c r="I704" s="101"/>
      <c r="J704" s="101"/>
      <c r="S704" s="101"/>
      <c r="T704" s="241"/>
      <c r="U704" s="241"/>
      <c r="V704" s="241"/>
      <c r="W704" s="241"/>
      <c r="X704" s="241"/>
      <c r="Y704" s="241"/>
      <c r="Z704" s="241"/>
    </row>
    <row r="705" spans="3:26" ht="16.5">
      <c r="C705" s="101"/>
      <c r="D705" s="101"/>
      <c r="E705" s="101"/>
      <c r="F705" s="101"/>
      <c r="G705" s="101"/>
      <c r="H705" s="101"/>
      <c r="I705" s="101"/>
      <c r="J705" s="101"/>
      <c r="S705" s="101"/>
      <c r="T705" s="241"/>
      <c r="U705" s="241"/>
      <c r="V705" s="241"/>
      <c r="W705" s="241"/>
      <c r="X705" s="241"/>
      <c r="Y705" s="241"/>
      <c r="Z705" s="241"/>
    </row>
    <row r="706" spans="3:26" ht="16.5">
      <c r="C706" s="101"/>
      <c r="D706" s="101"/>
      <c r="E706" s="101"/>
      <c r="F706" s="101"/>
      <c r="G706" s="101"/>
      <c r="H706" s="101"/>
      <c r="I706" s="101"/>
      <c r="J706" s="101"/>
      <c r="S706" s="101"/>
      <c r="T706" s="241"/>
      <c r="U706" s="241"/>
      <c r="V706" s="241"/>
      <c r="W706" s="241"/>
      <c r="X706" s="241"/>
      <c r="Y706" s="241"/>
      <c r="Z706" s="241"/>
    </row>
    <row r="707" spans="3:26" ht="16.5">
      <c r="C707" s="101"/>
      <c r="D707" s="101"/>
      <c r="E707" s="101"/>
      <c r="F707" s="101"/>
      <c r="G707" s="101"/>
      <c r="H707" s="101"/>
      <c r="I707" s="101"/>
      <c r="J707" s="101"/>
      <c r="S707" s="101"/>
      <c r="T707" s="241"/>
      <c r="U707" s="241"/>
      <c r="V707" s="241"/>
      <c r="W707" s="241"/>
      <c r="X707" s="241"/>
      <c r="Y707" s="241"/>
      <c r="Z707" s="241"/>
    </row>
    <row r="708" spans="3:26" ht="16.5">
      <c r="C708" s="101"/>
      <c r="D708" s="101"/>
      <c r="E708" s="101"/>
      <c r="F708" s="101"/>
      <c r="G708" s="101"/>
      <c r="H708" s="101"/>
      <c r="I708" s="101"/>
      <c r="J708" s="101"/>
      <c r="S708" s="101"/>
      <c r="T708" s="241"/>
      <c r="U708" s="241"/>
      <c r="V708" s="241"/>
      <c r="W708" s="241"/>
      <c r="X708" s="241"/>
      <c r="Y708" s="241"/>
      <c r="Z708" s="241"/>
    </row>
    <row r="709" spans="3:26" ht="16.5">
      <c r="C709" s="101"/>
      <c r="D709" s="101"/>
      <c r="E709" s="101"/>
      <c r="F709" s="101"/>
      <c r="G709" s="101"/>
      <c r="H709" s="101"/>
      <c r="I709" s="101"/>
      <c r="J709" s="101"/>
      <c r="S709" s="101"/>
      <c r="T709" s="241"/>
      <c r="U709" s="241"/>
      <c r="V709" s="241"/>
      <c r="W709" s="241"/>
      <c r="X709" s="241"/>
      <c r="Y709" s="241"/>
      <c r="Z709" s="241"/>
    </row>
    <row r="710" spans="3:26" ht="16.5">
      <c r="C710" s="101"/>
      <c r="D710" s="101"/>
      <c r="E710" s="101"/>
      <c r="F710" s="101"/>
      <c r="G710" s="101"/>
      <c r="H710" s="101"/>
      <c r="I710" s="101"/>
      <c r="J710" s="101"/>
      <c r="S710" s="101"/>
      <c r="T710" s="241"/>
      <c r="U710" s="241"/>
      <c r="V710" s="241"/>
      <c r="W710" s="241"/>
      <c r="X710" s="241"/>
      <c r="Y710" s="241"/>
      <c r="Z710" s="241"/>
    </row>
    <row r="711" spans="3:26" ht="16.5">
      <c r="C711" s="101"/>
      <c r="D711" s="101"/>
      <c r="E711" s="101"/>
      <c r="F711" s="101"/>
      <c r="G711" s="101"/>
      <c r="H711" s="101"/>
      <c r="I711" s="101"/>
      <c r="J711" s="101"/>
      <c r="S711" s="101"/>
      <c r="T711" s="241"/>
      <c r="U711" s="241"/>
      <c r="V711" s="241"/>
      <c r="W711" s="241"/>
      <c r="X711" s="241"/>
      <c r="Y711" s="241"/>
      <c r="Z711" s="241"/>
    </row>
    <row r="712" spans="3:26" ht="16.5">
      <c r="C712" s="101"/>
      <c r="D712" s="101"/>
      <c r="E712" s="101"/>
      <c r="F712" s="101"/>
      <c r="G712" s="101"/>
      <c r="H712" s="101"/>
      <c r="I712" s="101"/>
      <c r="J712" s="101"/>
      <c r="S712" s="101"/>
      <c r="T712" s="241"/>
      <c r="U712" s="241"/>
      <c r="V712" s="241"/>
      <c r="W712" s="241"/>
      <c r="X712" s="241"/>
      <c r="Y712" s="241"/>
      <c r="Z712" s="241"/>
    </row>
    <row r="713" spans="3:26" ht="16.5">
      <c r="C713" s="101"/>
      <c r="D713" s="101"/>
      <c r="E713" s="101"/>
      <c r="F713" s="101"/>
      <c r="G713" s="101"/>
      <c r="H713" s="101"/>
      <c r="I713" s="101"/>
      <c r="J713" s="101"/>
      <c r="S713" s="101"/>
      <c r="T713" s="241"/>
      <c r="U713" s="241"/>
      <c r="V713" s="241"/>
      <c r="W713" s="241"/>
      <c r="X713" s="241"/>
      <c r="Y713" s="241"/>
      <c r="Z713" s="241"/>
    </row>
    <row r="714" spans="3:26" ht="16.5">
      <c r="C714" s="101"/>
      <c r="D714" s="101"/>
      <c r="E714" s="101"/>
      <c r="F714" s="101"/>
      <c r="G714" s="101"/>
      <c r="H714" s="101"/>
      <c r="I714" s="101"/>
      <c r="J714" s="101"/>
      <c r="S714" s="101"/>
      <c r="T714" s="241"/>
      <c r="U714" s="241"/>
      <c r="V714" s="241"/>
      <c r="W714" s="241"/>
      <c r="X714" s="241"/>
      <c r="Y714" s="241"/>
      <c r="Z714" s="241"/>
    </row>
    <row r="715" spans="3:26" ht="16.5">
      <c r="C715" s="101"/>
      <c r="D715" s="101"/>
      <c r="E715" s="101"/>
      <c r="F715" s="101"/>
      <c r="G715" s="101"/>
      <c r="H715" s="101"/>
      <c r="I715" s="101"/>
      <c r="J715" s="101"/>
      <c r="S715" s="101"/>
      <c r="T715" s="241"/>
      <c r="U715" s="241"/>
      <c r="V715" s="241"/>
      <c r="W715" s="241"/>
      <c r="X715" s="241"/>
      <c r="Y715" s="241"/>
      <c r="Z715" s="241"/>
    </row>
    <row r="716" spans="3:26" ht="16.5">
      <c r="C716" s="101"/>
      <c r="D716" s="101"/>
      <c r="E716" s="101"/>
      <c r="F716" s="101"/>
      <c r="G716" s="101"/>
      <c r="H716" s="101"/>
      <c r="I716" s="101"/>
      <c r="J716" s="101"/>
      <c r="S716" s="101"/>
      <c r="T716" s="241"/>
      <c r="U716" s="241"/>
      <c r="V716" s="241"/>
      <c r="W716" s="241"/>
      <c r="X716" s="241"/>
      <c r="Y716" s="241"/>
      <c r="Z716" s="241"/>
    </row>
    <row r="717" spans="3:26" ht="16.5">
      <c r="C717" s="101"/>
      <c r="D717" s="101"/>
      <c r="E717" s="101"/>
      <c r="F717" s="101"/>
      <c r="G717" s="101"/>
      <c r="H717" s="101"/>
      <c r="I717" s="101"/>
      <c r="J717" s="101"/>
      <c r="S717" s="101"/>
      <c r="T717" s="241"/>
      <c r="U717" s="241"/>
      <c r="V717" s="241"/>
      <c r="W717" s="241"/>
      <c r="X717" s="241"/>
      <c r="Y717" s="241"/>
      <c r="Z717" s="241"/>
    </row>
    <row r="718" spans="3:26" ht="16.5">
      <c r="C718" s="101"/>
      <c r="D718" s="101"/>
      <c r="E718" s="101"/>
      <c r="F718" s="101"/>
      <c r="G718" s="101"/>
      <c r="H718" s="101"/>
      <c r="I718" s="101"/>
      <c r="J718" s="101"/>
      <c r="S718" s="101"/>
      <c r="T718" s="241"/>
      <c r="U718" s="241"/>
      <c r="V718" s="241"/>
      <c r="W718" s="241"/>
      <c r="X718" s="241"/>
      <c r="Y718" s="241"/>
      <c r="Z718" s="241"/>
    </row>
    <row r="719" spans="3:26" ht="16.5">
      <c r="C719" s="101"/>
      <c r="D719" s="101"/>
      <c r="E719" s="101"/>
      <c r="F719" s="101"/>
      <c r="G719" s="101"/>
      <c r="H719" s="101"/>
      <c r="I719" s="101"/>
      <c r="J719" s="101"/>
      <c r="S719" s="101"/>
      <c r="T719" s="241"/>
      <c r="U719" s="241"/>
      <c r="V719" s="241"/>
      <c r="W719" s="241"/>
      <c r="X719" s="241"/>
      <c r="Y719" s="241"/>
      <c r="Z719" s="241"/>
    </row>
    <row r="720" spans="3:26" ht="16.5">
      <c r="C720" s="101"/>
      <c r="D720" s="101"/>
      <c r="E720" s="101"/>
      <c r="F720" s="101"/>
      <c r="G720" s="101"/>
      <c r="H720" s="101"/>
      <c r="I720" s="101"/>
      <c r="J720" s="101"/>
      <c r="S720" s="101"/>
      <c r="T720" s="241"/>
      <c r="U720" s="241"/>
      <c r="V720" s="241"/>
      <c r="W720" s="241"/>
      <c r="X720" s="241"/>
      <c r="Y720" s="241"/>
      <c r="Z720" s="241"/>
    </row>
    <row r="721" spans="3:26" ht="16.5">
      <c r="C721" s="101"/>
      <c r="D721" s="101"/>
      <c r="E721" s="101"/>
      <c r="F721" s="101"/>
      <c r="G721" s="101"/>
      <c r="H721" s="101"/>
      <c r="I721" s="101"/>
      <c r="J721" s="101"/>
      <c r="S721" s="101"/>
      <c r="T721" s="241"/>
      <c r="U721" s="241"/>
      <c r="V721" s="241"/>
      <c r="W721" s="241"/>
      <c r="X721" s="241"/>
      <c r="Y721" s="241"/>
      <c r="Z721" s="241"/>
    </row>
    <row r="722" spans="3:26" ht="16.5">
      <c r="C722" s="101"/>
      <c r="D722" s="101"/>
      <c r="E722" s="101"/>
      <c r="F722" s="101"/>
      <c r="G722" s="101"/>
      <c r="H722" s="101"/>
      <c r="I722" s="101"/>
      <c r="J722" s="101"/>
      <c r="S722" s="101"/>
      <c r="T722" s="241"/>
      <c r="U722" s="241"/>
      <c r="V722" s="241"/>
      <c r="W722" s="241"/>
      <c r="X722" s="241"/>
      <c r="Y722" s="241"/>
      <c r="Z722" s="241"/>
    </row>
    <row r="723" spans="3:26" ht="16.5">
      <c r="C723" s="101"/>
      <c r="D723" s="101"/>
      <c r="E723" s="101"/>
      <c r="F723" s="101"/>
      <c r="G723" s="101"/>
      <c r="H723" s="101"/>
      <c r="I723" s="101"/>
      <c r="J723" s="101"/>
      <c r="S723" s="101"/>
      <c r="T723" s="241"/>
      <c r="U723" s="241"/>
      <c r="V723" s="241"/>
      <c r="W723" s="241"/>
      <c r="X723" s="241"/>
      <c r="Y723" s="241"/>
      <c r="Z723" s="241"/>
    </row>
    <row r="724" spans="3:26" ht="16.5">
      <c r="C724" s="101"/>
      <c r="D724" s="101"/>
      <c r="E724" s="101"/>
      <c r="F724" s="101"/>
      <c r="G724" s="101"/>
      <c r="H724" s="101"/>
      <c r="I724" s="101"/>
      <c r="J724" s="101"/>
      <c r="S724" s="101"/>
      <c r="T724" s="241"/>
      <c r="U724" s="241"/>
      <c r="V724" s="241"/>
      <c r="W724" s="241"/>
      <c r="X724" s="241"/>
      <c r="Y724" s="241"/>
      <c r="Z724" s="241"/>
    </row>
    <row r="725" spans="3:26" ht="16.5">
      <c r="C725" s="101"/>
      <c r="D725" s="101"/>
      <c r="E725" s="101"/>
      <c r="F725" s="101"/>
      <c r="G725" s="101"/>
      <c r="H725" s="101"/>
      <c r="I725" s="101"/>
      <c r="J725" s="101"/>
      <c r="S725" s="101"/>
      <c r="T725" s="241"/>
      <c r="U725" s="241"/>
      <c r="V725" s="241"/>
      <c r="W725" s="241"/>
      <c r="X725" s="241"/>
      <c r="Y725" s="241"/>
      <c r="Z725" s="241"/>
    </row>
    <row r="726" spans="3:26" ht="16.5">
      <c r="C726" s="101"/>
      <c r="D726" s="101"/>
      <c r="E726" s="101"/>
      <c r="F726" s="101"/>
      <c r="G726" s="101"/>
      <c r="H726" s="101"/>
      <c r="I726" s="101"/>
      <c r="J726" s="101"/>
      <c r="S726" s="101"/>
      <c r="T726" s="241"/>
      <c r="U726" s="241"/>
      <c r="V726" s="241"/>
      <c r="W726" s="241"/>
      <c r="X726" s="241"/>
      <c r="Y726" s="241"/>
      <c r="Z726" s="241"/>
    </row>
    <row r="727" spans="3:26" ht="16.5">
      <c r="C727" s="101"/>
      <c r="D727" s="101"/>
      <c r="E727" s="101"/>
      <c r="F727" s="101"/>
      <c r="G727" s="101"/>
      <c r="H727" s="101"/>
      <c r="I727" s="101"/>
      <c r="J727" s="101"/>
      <c r="S727" s="101"/>
      <c r="T727" s="241"/>
      <c r="U727" s="241"/>
      <c r="V727" s="241"/>
      <c r="W727" s="241"/>
      <c r="X727" s="241"/>
      <c r="Y727" s="241"/>
      <c r="Z727" s="241"/>
    </row>
    <row r="728" spans="3:26" ht="16.5">
      <c r="C728" s="101"/>
      <c r="D728" s="101"/>
      <c r="E728" s="101"/>
      <c r="F728" s="101"/>
      <c r="G728" s="101"/>
      <c r="H728" s="101"/>
      <c r="I728" s="101"/>
      <c r="J728" s="101"/>
      <c r="S728" s="101"/>
      <c r="T728" s="241"/>
      <c r="U728" s="241"/>
      <c r="V728" s="241"/>
      <c r="W728" s="241"/>
      <c r="X728" s="241"/>
      <c r="Y728" s="241"/>
      <c r="Z728" s="241"/>
    </row>
    <row r="729" spans="3:26" ht="16.5">
      <c r="C729" s="101"/>
      <c r="D729" s="101"/>
      <c r="E729" s="101"/>
      <c r="F729" s="101"/>
      <c r="G729" s="101"/>
      <c r="H729" s="101"/>
      <c r="I729" s="101"/>
      <c r="J729" s="101"/>
      <c r="S729" s="101"/>
      <c r="T729" s="241"/>
      <c r="U729" s="241"/>
      <c r="V729" s="241"/>
      <c r="W729" s="241"/>
      <c r="X729" s="241"/>
      <c r="Y729" s="241"/>
      <c r="Z729" s="241"/>
    </row>
    <row r="730" spans="3:26" ht="16.5">
      <c r="C730" s="101"/>
      <c r="D730" s="101"/>
      <c r="E730" s="101"/>
      <c r="F730" s="101"/>
      <c r="G730" s="101"/>
      <c r="H730" s="101"/>
      <c r="I730" s="101"/>
      <c r="J730" s="101"/>
      <c r="S730" s="101"/>
      <c r="T730" s="241"/>
      <c r="U730" s="241"/>
      <c r="V730" s="241"/>
      <c r="W730" s="241"/>
      <c r="X730" s="241"/>
      <c r="Y730" s="241"/>
      <c r="Z730" s="241"/>
    </row>
    <row r="731" spans="3:26" ht="16.5">
      <c r="C731" s="101"/>
      <c r="D731" s="101"/>
      <c r="E731" s="101"/>
      <c r="F731" s="101"/>
      <c r="G731" s="101"/>
      <c r="H731" s="101"/>
      <c r="I731" s="101"/>
      <c r="J731" s="101"/>
      <c r="S731" s="101"/>
      <c r="T731" s="241"/>
      <c r="U731" s="241"/>
      <c r="V731" s="241"/>
      <c r="W731" s="241"/>
      <c r="X731" s="241"/>
      <c r="Y731" s="241"/>
      <c r="Z731" s="241"/>
    </row>
    <row r="732" spans="3:26" ht="16.5">
      <c r="C732" s="101"/>
      <c r="D732" s="101"/>
      <c r="E732" s="101"/>
      <c r="F732" s="101"/>
      <c r="G732" s="101"/>
      <c r="H732" s="101"/>
      <c r="I732" s="101"/>
      <c r="J732" s="101"/>
      <c r="S732" s="101"/>
      <c r="T732" s="241"/>
      <c r="U732" s="241"/>
      <c r="V732" s="241"/>
      <c r="W732" s="241"/>
      <c r="X732" s="241"/>
      <c r="Y732" s="241"/>
      <c r="Z732" s="241"/>
    </row>
    <row r="733" spans="3:26" ht="16.5">
      <c r="C733" s="101"/>
      <c r="D733" s="101"/>
      <c r="E733" s="101"/>
      <c r="F733" s="101"/>
      <c r="G733" s="101"/>
      <c r="H733" s="101"/>
      <c r="I733" s="101"/>
      <c r="J733" s="101"/>
      <c r="S733" s="101"/>
      <c r="T733" s="241"/>
      <c r="U733" s="241"/>
      <c r="V733" s="241"/>
      <c r="W733" s="241"/>
      <c r="X733" s="241"/>
      <c r="Y733" s="241"/>
      <c r="Z733" s="241"/>
    </row>
    <row r="734" spans="3:26" ht="16.5">
      <c r="C734" s="101"/>
      <c r="D734" s="101"/>
      <c r="E734" s="101"/>
      <c r="F734" s="101"/>
      <c r="G734" s="101"/>
      <c r="H734" s="101"/>
      <c r="I734" s="101"/>
      <c r="J734" s="101"/>
      <c r="S734" s="101"/>
      <c r="T734" s="241"/>
      <c r="U734" s="241"/>
      <c r="V734" s="241"/>
      <c r="W734" s="241"/>
      <c r="X734" s="241"/>
      <c r="Y734" s="241"/>
      <c r="Z734" s="241"/>
    </row>
    <row r="735" spans="3:26" ht="16.5">
      <c r="C735" s="101"/>
      <c r="D735" s="101"/>
      <c r="E735" s="101"/>
      <c r="F735" s="101"/>
      <c r="G735" s="101"/>
      <c r="H735" s="101"/>
      <c r="I735" s="101"/>
      <c r="J735" s="101"/>
      <c r="S735" s="101"/>
      <c r="T735" s="241"/>
      <c r="U735" s="241"/>
      <c r="V735" s="241"/>
      <c r="W735" s="241"/>
      <c r="X735" s="241"/>
      <c r="Y735" s="241"/>
      <c r="Z735" s="241"/>
    </row>
    <row r="736" spans="3:26" ht="16.5">
      <c r="C736" s="101"/>
      <c r="D736" s="101"/>
      <c r="E736" s="101"/>
      <c r="F736" s="101"/>
      <c r="G736" s="101"/>
      <c r="H736" s="101"/>
      <c r="I736" s="101"/>
      <c r="J736" s="101"/>
      <c r="S736" s="101"/>
      <c r="T736" s="241"/>
      <c r="U736" s="241"/>
      <c r="V736" s="241"/>
      <c r="W736" s="241"/>
      <c r="X736" s="241"/>
      <c r="Y736" s="241"/>
      <c r="Z736" s="241"/>
    </row>
    <row r="737" spans="3:26" ht="16.5">
      <c r="C737" s="101"/>
      <c r="D737" s="101"/>
      <c r="E737" s="101"/>
      <c r="F737" s="101"/>
      <c r="G737" s="101"/>
      <c r="H737" s="101"/>
      <c r="I737" s="101"/>
      <c r="J737" s="101"/>
      <c r="S737" s="101"/>
      <c r="T737" s="241"/>
      <c r="U737" s="241"/>
      <c r="V737" s="241"/>
      <c r="W737" s="241"/>
      <c r="X737" s="241"/>
      <c r="Y737" s="241"/>
      <c r="Z737" s="241"/>
    </row>
    <row r="738" spans="3:26" ht="16.5">
      <c r="C738" s="101"/>
      <c r="D738" s="101"/>
      <c r="E738" s="101"/>
      <c r="F738" s="101"/>
      <c r="G738" s="101"/>
      <c r="H738" s="101"/>
      <c r="I738" s="101"/>
      <c r="J738" s="101"/>
      <c r="S738" s="101"/>
      <c r="T738" s="241"/>
      <c r="U738" s="241"/>
      <c r="V738" s="241"/>
      <c r="W738" s="241"/>
      <c r="X738" s="241"/>
      <c r="Y738" s="241"/>
      <c r="Z738" s="241"/>
    </row>
    <row r="739" spans="3:26" ht="16.5">
      <c r="C739" s="101"/>
      <c r="D739" s="101"/>
      <c r="E739" s="101"/>
      <c r="F739" s="101"/>
      <c r="G739" s="101"/>
      <c r="H739" s="101"/>
      <c r="I739" s="101"/>
      <c r="J739" s="101"/>
      <c r="S739" s="101"/>
      <c r="T739" s="241"/>
      <c r="U739" s="241"/>
      <c r="V739" s="241"/>
      <c r="W739" s="241"/>
      <c r="X739" s="241"/>
      <c r="Y739" s="241"/>
      <c r="Z739" s="241"/>
    </row>
    <row r="740" spans="3:26" ht="16.5">
      <c r="C740" s="101"/>
      <c r="D740" s="101"/>
      <c r="E740" s="101"/>
      <c r="F740" s="101"/>
      <c r="G740" s="101"/>
      <c r="H740" s="101"/>
      <c r="I740" s="101"/>
      <c r="J740" s="101"/>
      <c r="S740" s="101"/>
      <c r="T740" s="241"/>
      <c r="U740" s="241"/>
      <c r="V740" s="241"/>
      <c r="W740" s="241"/>
      <c r="X740" s="241"/>
      <c r="Y740" s="241"/>
      <c r="Z740" s="241"/>
    </row>
    <row r="741" spans="3:26" ht="16.5">
      <c r="C741" s="101"/>
      <c r="D741" s="101"/>
      <c r="E741" s="101"/>
      <c r="F741" s="101"/>
      <c r="G741" s="101"/>
      <c r="H741" s="101"/>
      <c r="I741" s="101"/>
      <c r="J741" s="101"/>
      <c r="S741" s="101"/>
      <c r="T741" s="241"/>
      <c r="U741" s="241"/>
      <c r="V741" s="241"/>
      <c r="W741" s="241"/>
      <c r="X741" s="241"/>
      <c r="Y741" s="241"/>
      <c r="Z741" s="241"/>
    </row>
    <row r="742" spans="3:26" ht="16.5">
      <c r="C742" s="101"/>
      <c r="D742" s="101"/>
      <c r="E742" s="101"/>
      <c r="F742" s="101"/>
      <c r="G742" s="101"/>
      <c r="H742" s="101"/>
      <c r="I742" s="101"/>
      <c r="J742" s="101"/>
      <c r="S742" s="101"/>
      <c r="T742" s="241"/>
      <c r="U742" s="241"/>
      <c r="V742" s="241"/>
      <c r="W742" s="241"/>
      <c r="X742" s="241"/>
      <c r="Y742" s="241"/>
      <c r="Z742" s="241"/>
    </row>
    <row r="743" spans="3:26" ht="16.5">
      <c r="C743" s="101"/>
      <c r="D743" s="101"/>
      <c r="E743" s="101"/>
      <c r="F743" s="101"/>
      <c r="G743" s="101"/>
      <c r="H743" s="101"/>
      <c r="I743" s="101"/>
      <c r="J743" s="101"/>
      <c r="S743" s="101"/>
      <c r="T743" s="241"/>
      <c r="U743" s="241"/>
      <c r="V743" s="241"/>
      <c r="W743" s="241"/>
      <c r="X743" s="241"/>
      <c r="Y743" s="241"/>
      <c r="Z743" s="241"/>
    </row>
    <row r="744" spans="3:26" ht="16.5">
      <c r="C744" s="101"/>
      <c r="D744" s="101"/>
      <c r="E744" s="101"/>
      <c r="F744" s="101"/>
      <c r="G744" s="101"/>
      <c r="H744" s="101"/>
      <c r="I744" s="101"/>
      <c r="J744" s="101"/>
      <c r="S744" s="101"/>
      <c r="T744" s="241"/>
      <c r="U744" s="241"/>
      <c r="V744" s="241"/>
      <c r="W744" s="241"/>
      <c r="X744" s="241"/>
      <c r="Y744" s="241"/>
      <c r="Z744" s="241"/>
    </row>
    <row r="745" spans="3:26" ht="16.5">
      <c r="C745" s="101"/>
      <c r="D745" s="101"/>
      <c r="E745" s="101"/>
      <c r="F745" s="101"/>
      <c r="G745" s="101"/>
      <c r="H745" s="101"/>
      <c r="I745" s="101"/>
      <c r="J745" s="101"/>
      <c r="S745" s="101"/>
      <c r="T745" s="241"/>
      <c r="U745" s="241"/>
      <c r="V745" s="241"/>
      <c r="W745" s="241"/>
      <c r="X745" s="241"/>
      <c r="Y745" s="241"/>
      <c r="Z745" s="241"/>
    </row>
    <row r="746" spans="3:26" ht="16.5">
      <c r="C746" s="101"/>
      <c r="D746" s="101"/>
      <c r="E746" s="101"/>
      <c r="F746" s="101"/>
      <c r="G746" s="101"/>
      <c r="H746" s="101"/>
      <c r="I746" s="101"/>
      <c r="J746" s="101"/>
      <c r="S746" s="101"/>
      <c r="T746" s="241"/>
      <c r="U746" s="241"/>
      <c r="V746" s="241"/>
      <c r="W746" s="241"/>
      <c r="X746" s="241"/>
      <c r="Y746" s="241"/>
      <c r="Z746" s="241"/>
    </row>
    <row r="747" spans="3:26" ht="16.5">
      <c r="C747" s="101"/>
      <c r="D747" s="101"/>
      <c r="E747" s="101"/>
      <c r="F747" s="101"/>
      <c r="G747" s="101"/>
      <c r="H747" s="101"/>
      <c r="I747" s="101"/>
      <c r="J747" s="101"/>
      <c r="S747" s="101"/>
      <c r="T747" s="241"/>
      <c r="U747" s="241"/>
      <c r="V747" s="241"/>
      <c r="W747" s="241"/>
      <c r="X747" s="241"/>
      <c r="Y747" s="241"/>
      <c r="Z747" s="241"/>
    </row>
    <row r="748" spans="3:26" ht="16.5">
      <c r="C748" s="101"/>
      <c r="D748" s="101"/>
      <c r="E748" s="101"/>
      <c r="F748" s="101"/>
      <c r="G748" s="101"/>
      <c r="H748" s="101"/>
      <c r="I748" s="101"/>
      <c r="J748" s="101"/>
      <c r="S748" s="101"/>
      <c r="T748" s="241"/>
      <c r="U748" s="241"/>
      <c r="V748" s="241"/>
      <c r="W748" s="241"/>
      <c r="X748" s="241"/>
      <c r="Y748" s="241"/>
      <c r="Z748" s="241"/>
    </row>
    <row r="749" spans="3:26" ht="16.5">
      <c r="C749" s="101"/>
      <c r="D749" s="101"/>
      <c r="E749" s="101"/>
      <c r="F749" s="101"/>
      <c r="G749" s="101"/>
      <c r="H749" s="101"/>
      <c r="I749" s="101"/>
      <c r="J749" s="101"/>
      <c r="S749" s="101"/>
      <c r="T749" s="241"/>
      <c r="U749" s="241"/>
      <c r="V749" s="241"/>
      <c r="W749" s="241"/>
      <c r="X749" s="241"/>
      <c r="Y749" s="241"/>
      <c r="Z749" s="241"/>
    </row>
    <row r="750" spans="3:26" ht="16.5">
      <c r="C750" s="101"/>
      <c r="D750" s="101"/>
      <c r="E750" s="101"/>
      <c r="F750" s="101"/>
      <c r="G750" s="101"/>
      <c r="H750" s="101"/>
      <c r="I750" s="101"/>
      <c r="J750" s="101"/>
      <c r="S750" s="101"/>
      <c r="T750" s="241"/>
      <c r="U750" s="241"/>
      <c r="V750" s="241"/>
      <c r="W750" s="241"/>
      <c r="X750" s="241"/>
      <c r="Y750" s="241"/>
      <c r="Z750" s="241"/>
    </row>
    <row r="751" spans="3:26" ht="16.5">
      <c r="C751" s="101"/>
      <c r="D751" s="101"/>
      <c r="E751" s="101"/>
      <c r="F751" s="101"/>
      <c r="G751" s="101"/>
      <c r="H751" s="101"/>
      <c r="I751" s="101"/>
      <c r="J751" s="101"/>
      <c r="S751" s="101"/>
      <c r="T751" s="241"/>
      <c r="U751" s="241"/>
      <c r="V751" s="241"/>
      <c r="W751" s="241"/>
      <c r="X751" s="241"/>
      <c r="Y751" s="241"/>
      <c r="Z751" s="241"/>
    </row>
    <row r="752" spans="3:26" ht="16.5">
      <c r="C752" s="101"/>
      <c r="D752" s="101"/>
      <c r="E752" s="101"/>
      <c r="F752" s="101"/>
      <c r="G752" s="101"/>
      <c r="H752" s="101"/>
      <c r="I752" s="101"/>
      <c r="J752" s="101"/>
      <c r="S752" s="101"/>
      <c r="T752" s="241"/>
      <c r="U752" s="241"/>
      <c r="V752" s="241"/>
      <c r="W752" s="241"/>
      <c r="X752" s="241"/>
      <c r="Y752" s="241"/>
      <c r="Z752" s="241"/>
    </row>
    <row r="753" spans="3:26" ht="16.5">
      <c r="C753" s="101"/>
      <c r="D753" s="101"/>
      <c r="E753" s="101"/>
      <c r="F753" s="101"/>
      <c r="G753" s="101"/>
      <c r="H753" s="101"/>
      <c r="I753" s="101"/>
      <c r="J753" s="101"/>
      <c r="S753" s="101"/>
      <c r="T753" s="241"/>
      <c r="U753" s="241"/>
      <c r="V753" s="241"/>
      <c r="W753" s="241"/>
      <c r="X753" s="241"/>
      <c r="Y753" s="241"/>
      <c r="Z753" s="241"/>
    </row>
    <row r="754" spans="3:26" ht="16.5">
      <c r="C754" s="101"/>
      <c r="D754" s="101"/>
      <c r="E754" s="101"/>
      <c r="F754" s="101"/>
      <c r="G754" s="101"/>
      <c r="H754" s="101"/>
      <c r="I754" s="101"/>
      <c r="J754" s="101"/>
      <c r="S754" s="101"/>
      <c r="T754" s="241"/>
      <c r="U754" s="241"/>
      <c r="V754" s="241"/>
      <c r="W754" s="241"/>
      <c r="X754" s="241"/>
      <c r="Y754" s="241"/>
      <c r="Z754" s="241"/>
    </row>
    <row r="755" spans="3:26" ht="16.5">
      <c r="C755" s="101"/>
      <c r="D755" s="101"/>
      <c r="E755" s="101"/>
      <c r="F755" s="101"/>
      <c r="G755" s="101"/>
      <c r="H755" s="101"/>
      <c r="I755" s="101"/>
      <c r="J755" s="101"/>
      <c r="S755" s="101"/>
      <c r="T755" s="241"/>
      <c r="U755" s="241"/>
      <c r="V755" s="241"/>
      <c r="W755" s="241"/>
      <c r="X755" s="241"/>
      <c r="Y755" s="241"/>
      <c r="Z755" s="241"/>
    </row>
    <row r="756" spans="3:26" ht="16.5">
      <c r="C756" s="101"/>
      <c r="D756" s="101"/>
      <c r="E756" s="101"/>
      <c r="F756" s="101"/>
      <c r="G756" s="101"/>
      <c r="H756" s="101"/>
      <c r="I756" s="101"/>
      <c r="J756" s="101"/>
      <c r="S756" s="101"/>
      <c r="T756" s="241"/>
      <c r="U756" s="241"/>
      <c r="V756" s="241"/>
      <c r="W756" s="241"/>
      <c r="X756" s="241"/>
      <c r="Y756" s="241"/>
      <c r="Z756" s="241"/>
    </row>
    <row r="757" spans="3:26" ht="16.5">
      <c r="C757" s="101"/>
      <c r="D757" s="101"/>
      <c r="E757" s="101"/>
      <c r="F757" s="101"/>
      <c r="G757" s="101"/>
      <c r="H757" s="101"/>
      <c r="I757" s="101"/>
      <c r="J757" s="101"/>
      <c r="S757" s="101"/>
      <c r="T757" s="241"/>
      <c r="U757" s="241"/>
      <c r="V757" s="241"/>
      <c r="W757" s="241"/>
      <c r="X757" s="241"/>
      <c r="Y757" s="241"/>
      <c r="Z757" s="241"/>
    </row>
    <row r="758" spans="3:26" ht="16.5">
      <c r="C758" s="101"/>
      <c r="D758" s="101"/>
      <c r="E758" s="101"/>
      <c r="F758" s="101"/>
      <c r="G758" s="101"/>
      <c r="H758" s="101"/>
      <c r="I758" s="101"/>
      <c r="J758" s="101"/>
      <c r="S758" s="101"/>
      <c r="T758" s="241"/>
      <c r="U758" s="241"/>
      <c r="V758" s="241"/>
      <c r="W758" s="241"/>
      <c r="X758" s="241"/>
      <c r="Y758" s="241"/>
      <c r="Z758" s="241"/>
    </row>
    <row r="759" spans="3:26" ht="16.5">
      <c r="C759" s="101"/>
      <c r="D759" s="101"/>
      <c r="E759" s="101"/>
      <c r="F759" s="101"/>
      <c r="G759" s="101"/>
      <c r="H759" s="101"/>
      <c r="I759" s="101"/>
      <c r="J759" s="101"/>
      <c r="S759" s="101"/>
      <c r="T759" s="241"/>
      <c r="U759" s="241"/>
      <c r="V759" s="241"/>
      <c r="W759" s="241"/>
      <c r="X759" s="241"/>
      <c r="Y759" s="241"/>
      <c r="Z759" s="241"/>
    </row>
    <row r="760" spans="3:26" ht="16.5">
      <c r="C760" s="101"/>
      <c r="D760" s="101"/>
      <c r="E760" s="101"/>
      <c r="F760" s="101"/>
      <c r="G760" s="101"/>
      <c r="H760" s="101"/>
      <c r="I760" s="101"/>
      <c r="J760" s="101"/>
      <c r="S760" s="101"/>
      <c r="T760" s="241"/>
      <c r="U760" s="241"/>
      <c r="V760" s="241"/>
      <c r="W760" s="241"/>
      <c r="X760" s="241"/>
      <c r="Y760" s="241"/>
      <c r="Z760" s="241"/>
    </row>
    <row r="761" spans="3:26" ht="16.5">
      <c r="C761" s="101"/>
      <c r="D761" s="101"/>
      <c r="E761" s="101"/>
      <c r="F761" s="101"/>
      <c r="G761" s="101"/>
      <c r="H761" s="101"/>
      <c r="I761" s="101"/>
      <c r="J761" s="101"/>
      <c r="S761" s="101"/>
      <c r="T761" s="241"/>
      <c r="U761" s="241"/>
      <c r="V761" s="241"/>
      <c r="W761" s="241"/>
      <c r="X761" s="241"/>
      <c r="Y761" s="241"/>
      <c r="Z761" s="241"/>
    </row>
    <row r="762" spans="3:26" ht="16.5">
      <c r="C762" s="101"/>
      <c r="D762" s="101"/>
      <c r="E762" s="101"/>
      <c r="F762" s="101"/>
      <c r="G762" s="101"/>
      <c r="H762" s="101"/>
      <c r="I762" s="101"/>
      <c r="J762" s="101"/>
      <c r="S762" s="101"/>
      <c r="T762" s="241"/>
      <c r="U762" s="241"/>
      <c r="V762" s="241"/>
      <c r="W762" s="241"/>
      <c r="X762" s="241"/>
      <c r="Y762" s="241"/>
      <c r="Z762" s="241"/>
    </row>
    <row r="763" spans="3:26" ht="16.5">
      <c r="C763" s="101"/>
      <c r="D763" s="101"/>
      <c r="E763" s="101"/>
      <c r="F763" s="101"/>
      <c r="G763" s="101"/>
      <c r="H763" s="101"/>
      <c r="I763" s="101"/>
      <c r="J763" s="101"/>
      <c r="S763" s="101"/>
      <c r="T763" s="241"/>
      <c r="U763" s="241"/>
      <c r="V763" s="241"/>
      <c r="W763" s="241"/>
      <c r="X763" s="241"/>
      <c r="Y763" s="241"/>
      <c r="Z763" s="241"/>
    </row>
    <row r="764" spans="3:26" ht="16.5">
      <c r="C764" s="101"/>
      <c r="D764" s="101"/>
      <c r="E764" s="101"/>
      <c r="F764" s="101"/>
      <c r="G764" s="101"/>
      <c r="H764" s="101"/>
      <c r="I764" s="101"/>
      <c r="J764" s="101"/>
      <c r="S764" s="101"/>
      <c r="T764" s="241"/>
      <c r="U764" s="241"/>
      <c r="V764" s="241"/>
      <c r="W764" s="241"/>
      <c r="X764" s="241"/>
      <c r="Y764" s="241"/>
      <c r="Z764" s="241"/>
    </row>
    <row r="765" spans="3:26" ht="16.5">
      <c r="C765" s="101"/>
      <c r="D765" s="101"/>
      <c r="E765" s="101"/>
      <c r="F765" s="101"/>
      <c r="G765" s="101"/>
      <c r="H765" s="101"/>
      <c r="I765" s="101"/>
      <c r="J765" s="101"/>
      <c r="S765" s="101"/>
      <c r="T765" s="241"/>
      <c r="U765" s="241"/>
      <c r="V765" s="241"/>
      <c r="W765" s="241"/>
      <c r="X765" s="241"/>
      <c r="Y765" s="241"/>
      <c r="Z765" s="241"/>
    </row>
    <row r="766" spans="3:26" ht="16.5">
      <c r="C766" s="101"/>
      <c r="D766" s="101"/>
      <c r="E766" s="101"/>
      <c r="F766" s="101"/>
      <c r="G766" s="101"/>
      <c r="H766" s="101"/>
      <c r="I766" s="101"/>
      <c r="J766" s="101"/>
      <c r="S766" s="101"/>
      <c r="T766" s="241"/>
      <c r="U766" s="241"/>
      <c r="V766" s="241"/>
      <c r="W766" s="241"/>
      <c r="X766" s="241"/>
      <c r="Y766" s="241"/>
      <c r="Z766" s="241"/>
    </row>
    <row r="767" spans="3:26" ht="16.5">
      <c r="C767" s="101"/>
      <c r="D767" s="101"/>
      <c r="E767" s="101"/>
      <c r="F767" s="101"/>
      <c r="G767" s="101"/>
      <c r="H767" s="101"/>
      <c r="I767" s="101"/>
      <c r="J767" s="101"/>
      <c r="S767" s="101"/>
      <c r="T767" s="241"/>
      <c r="U767" s="241"/>
      <c r="V767" s="241"/>
      <c r="W767" s="241"/>
      <c r="X767" s="241"/>
      <c r="Y767" s="241"/>
      <c r="Z767" s="241"/>
    </row>
    <row r="768" spans="3:26" ht="16.5">
      <c r="C768" s="101"/>
      <c r="D768" s="101"/>
      <c r="E768" s="101"/>
      <c r="F768" s="101"/>
      <c r="G768" s="101"/>
      <c r="H768" s="101"/>
      <c r="I768" s="101"/>
      <c r="J768" s="101"/>
      <c r="S768" s="101"/>
      <c r="T768" s="241"/>
      <c r="U768" s="241"/>
      <c r="V768" s="241"/>
      <c r="W768" s="241"/>
      <c r="X768" s="241"/>
      <c r="Y768" s="241"/>
      <c r="Z768" s="241"/>
    </row>
    <row r="769" spans="3:26" ht="16.5">
      <c r="C769" s="101"/>
      <c r="D769" s="101"/>
      <c r="E769" s="101"/>
      <c r="F769" s="101"/>
      <c r="G769" s="101"/>
      <c r="H769" s="101"/>
      <c r="I769" s="101"/>
      <c r="J769" s="101"/>
      <c r="S769" s="101"/>
      <c r="T769" s="241"/>
      <c r="U769" s="241"/>
      <c r="V769" s="241"/>
      <c r="W769" s="241"/>
      <c r="X769" s="241"/>
      <c r="Y769" s="241"/>
      <c r="Z769" s="241"/>
    </row>
    <row r="770" spans="3:26" ht="16.5">
      <c r="C770" s="101"/>
      <c r="D770" s="101"/>
      <c r="E770" s="101"/>
      <c r="F770" s="101"/>
      <c r="G770" s="101"/>
      <c r="H770" s="101"/>
      <c r="I770" s="101"/>
      <c r="J770" s="101"/>
      <c r="S770" s="101"/>
      <c r="T770" s="241"/>
      <c r="U770" s="241"/>
      <c r="V770" s="241"/>
      <c r="W770" s="241"/>
      <c r="X770" s="241"/>
      <c r="Y770" s="241"/>
      <c r="Z770" s="241"/>
    </row>
    <row r="771" spans="3:26" ht="16.5">
      <c r="C771" s="101"/>
      <c r="D771" s="101"/>
      <c r="E771" s="101"/>
      <c r="F771" s="101"/>
      <c r="G771" s="101"/>
      <c r="H771" s="101"/>
      <c r="I771" s="101"/>
      <c r="J771" s="101"/>
      <c r="S771" s="101"/>
      <c r="T771" s="241"/>
      <c r="U771" s="241"/>
      <c r="V771" s="241"/>
      <c r="W771" s="241"/>
      <c r="X771" s="241"/>
      <c r="Y771" s="241"/>
      <c r="Z771" s="241"/>
    </row>
    <row r="772" spans="3:26" ht="16.5">
      <c r="C772" s="101"/>
      <c r="D772" s="101"/>
      <c r="E772" s="101"/>
      <c r="F772" s="101"/>
      <c r="G772" s="101"/>
      <c r="H772" s="101"/>
      <c r="I772" s="101"/>
      <c r="J772" s="101"/>
      <c r="S772" s="101"/>
      <c r="T772" s="241"/>
      <c r="U772" s="241"/>
      <c r="V772" s="241"/>
      <c r="W772" s="241"/>
      <c r="X772" s="241"/>
      <c r="Y772" s="241"/>
      <c r="Z772" s="241"/>
    </row>
    <row r="773" spans="3:26" ht="16.5">
      <c r="C773" s="101"/>
      <c r="D773" s="101"/>
      <c r="E773" s="101"/>
      <c r="F773" s="101"/>
      <c r="G773" s="101"/>
      <c r="H773" s="101"/>
      <c r="I773" s="101"/>
      <c r="J773" s="101"/>
      <c r="S773" s="101"/>
      <c r="T773" s="241"/>
      <c r="U773" s="241"/>
      <c r="V773" s="241"/>
      <c r="W773" s="241"/>
      <c r="X773" s="241"/>
      <c r="Y773" s="241"/>
      <c r="Z773" s="241"/>
    </row>
    <row r="774" spans="3:26" ht="16.5">
      <c r="C774" s="101"/>
      <c r="D774" s="101"/>
      <c r="E774" s="101"/>
      <c r="F774" s="101"/>
      <c r="G774" s="101"/>
      <c r="H774" s="101"/>
      <c r="I774" s="101"/>
      <c r="J774" s="101"/>
      <c r="S774" s="101"/>
      <c r="T774" s="241"/>
      <c r="U774" s="241"/>
      <c r="V774" s="241"/>
      <c r="W774" s="241"/>
      <c r="X774" s="241"/>
      <c r="Y774" s="241"/>
      <c r="Z774" s="241"/>
    </row>
    <row r="775" spans="3:26" ht="16.5">
      <c r="C775" s="101"/>
      <c r="D775" s="101"/>
      <c r="E775" s="101"/>
      <c r="F775" s="101"/>
      <c r="G775" s="101"/>
      <c r="H775" s="101"/>
      <c r="I775" s="101"/>
      <c r="J775" s="101"/>
      <c r="S775" s="101"/>
      <c r="T775" s="241"/>
      <c r="U775" s="241"/>
      <c r="V775" s="241"/>
      <c r="W775" s="241"/>
      <c r="X775" s="241"/>
      <c r="Y775" s="241"/>
      <c r="Z775" s="241"/>
    </row>
    <row r="776" spans="3:26" ht="16.5">
      <c r="C776" s="101"/>
      <c r="D776" s="101"/>
      <c r="E776" s="101"/>
      <c r="F776" s="101"/>
      <c r="G776" s="101"/>
      <c r="H776" s="101"/>
      <c r="I776" s="101"/>
      <c r="J776" s="101"/>
      <c r="S776" s="101"/>
      <c r="T776" s="241"/>
      <c r="U776" s="241"/>
      <c r="V776" s="241"/>
      <c r="W776" s="241"/>
      <c r="X776" s="241"/>
      <c r="Y776" s="241"/>
      <c r="Z776" s="241"/>
    </row>
    <row r="777" spans="3:26" ht="16.5">
      <c r="C777" s="101"/>
      <c r="D777" s="101"/>
      <c r="E777" s="101"/>
      <c r="F777" s="101"/>
      <c r="G777" s="101"/>
      <c r="H777" s="101"/>
      <c r="I777" s="101"/>
      <c r="J777" s="101"/>
      <c r="S777" s="101"/>
      <c r="T777" s="241"/>
      <c r="U777" s="241"/>
      <c r="V777" s="241"/>
      <c r="W777" s="241"/>
      <c r="X777" s="241"/>
      <c r="Y777" s="241"/>
      <c r="Z777" s="241"/>
    </row>
    <row r="778" spans="3:26" ht="16.5">
      <c r="C778" s="101"/>
      <c r="D778" s="101"/>
      <c r="E778" s="101"/>
      <c r="F778" s="101"/>
      <c r="G778" s="101"/>
      <c r="H778" s="101"/>
      <c r="I778" s="101"/>
      <c r="J778" s="101"/>
      <c r="S778" s="101"/>
      <c r="T778" s="241"/>
      <c r="U778" s="241"/>
      <c r="V778" s="241"/>
      <c r="W778" s="241"/>
      <c r="X778" s="241"/>
      <c r="Y778" s="241"/>
      <c r="Z778" s="241"/>
    </row>
    <row r="779" spans="3:26" ht="16.5">
      <c r="C779" s="101"/>
      <c r="D779" s="101"/>
      <c r="E779" s="101"/>
      <c r="F779" s="101"/>
      <c r="G779" s="101"/>
      <c r="H779" s="101"/>
      <c r="I779" s="101"/>
      <c r="J779" s="101"/>
      <c r="S779" s="101"/>
      <c r="T779" s="241"/>
      <c r="U779" s="241"/>
      <c r="V779" s="241"/>
      <c r="W779" s="241"/>
      <c r="X779" s="241"/>
      <c r="Y779" s="241"/>
      <c r="Z779" s="241"/>
    </row>
    <row r="780" spans="3:26" ht="16.5">
      <c r="C780" s="101"/>
      <c r="D780" s="101"/>
      <c r="E780" s="101"/>
      <c r="F780" s="101"/>
      <c r="G780" s="101"/>
      <c r="H780" s="101"/>
      <c r="I780" s="101"/>
      <c r="J780" s="101"/>
      <c r="S780" s="101"/>
      <c r="T780" s="241"/>
      <c r="U780" s="241"/>
      <c r="V780" s="241"/>
      <c r="W780" s="241"/>
      <c r="X780" s="241"/>
      <c r="Y780" s="241"/>
      <c r="Z780" s="241"/>
    </row>
    <row r="781" spans="3:26" ht="16.5">
      <c r="C781" s="101"/>
      <c r="D781" s="101"/>
      <c r="E781" s="101"/>
      <c r="F781" s="101"/>
      <c r="G781" s="101"/>
      <c r="H781" s="101"/>
      <c r="I781" s="101"/>
      <c r="J781" s="101"/>
      <c r="S781" s="101"/>
      <c r="T781" s="241"/>
      <c r="U781" s="241"/>
      <c r="V781" s="241"/>
      <c r="W781" s="241"/>
      <c r="X781" s="241"/>
      <c r="Y781" s="241"/>
      <c r="Z781" s="241"/>
    </row>
    <row r="782" spans="3:26" ht="16.5">
      <c r="C782" s="101"/>
      <c r="D782" s="101"/>
      <c r="E782" s="101"/>
      <c r="F782" s="101"/>
      <c r="G782" s="101"/>
      <c r="H782" s="101"/>
      <c r="I782" s="101"/>
      <c r="J782" s="101"/>
      <c r="S782" s="101"/>
      <c r="T782" s="241"/>
      <c r="U782" s="241"/>
      <c r="V782" s="241"/>
      <c r="W782" s="241"/>
      <c r="X782" s="241"/>
      <c r="Y782" s="241"/>
      <c r="Z782" s="241"/>
    </row>
    <row r="783" spans="3:26" ht="16.5">
      <c r="C783" s="101"/>
      <c r="D783" s="101"/>
      <c r="E783" s="101"/>
      <c r="F783" s="101"/>
      <c r="G783" s="101"/>
      <c r="H783" s="101"/>
      <c r="I783" s="101"/>
      <c r="J783" s="101"/>
      <c r="S783" s="101"/>
      <c r="T783" s="241"/>
      <c r="U783" s="241"/>
      <c r="V783" s="241"/>
      <c r="W783" s="241"/>
      <c r="X783" s="241"/>
      <c r="Y783" s="241"/>
      <c r="Z783" s="241"/>
    </row>
    <row r="784" spans="3:26" ht="16.5">
      <c r="C784" s="101"/>
      <c r="D784" s="101"/>
      <c r="E784" s="101"/>
      <c r="F784" s="101"/>
      <c r="G784" s="101"/>
      <c r="H784" s="101"/>
      <c r="I784" s="101"/>
      <c r="J784" s="101"/>
      <c r="S784" s="101"/>
      <c r="T784" s="241"/>
      <c r="U784" s="241"/>
      <c r="V784" s="241"/>
      <c r="W784" s="241"/>
      <c r="X784" s="241"/>
      <c r="Y784" s="241"/>
      <c r="Z784" s="241"/>
    </row>
    <row r="785" spans="3:26" ht="16.5">
      <c r="C785" s="101"/>
      <c r="D785" s="101"/>
      <c r="E785" s="101"/>
      <c r="F785" s="101"/>
      <c r="G785" s="101"/>
      <c r="H785" s="101"/>
      <c r="I785" s="101"/>
      <c r="J785" s="101"/>
      <c r="S785" s="101"/>
      <c r="T785" s="241"/>
      <c r="U785" s="241"/>
      <c r="V785" s="241"/>
      <c r="W785" s="241"/>
      <c r="X785" s="241"/>
      <c r="Y785" s="241"/>
      <c r="Z785" s="241"/>
    </row>
    <row r="786" spans="3:26" ht="16.5">
      <c r="C786" s="101"/>
      <c r="D786" s="101"/>
      <c r="E786" s="101"/>
      <c r="F786" s="101"/>
      <c r="G786" s="101"/>
      <c r="H786" s="101"/>
      <c r="I786" s="101"/>
      <c r="J786" s="101"/>
      <c r="S786" s="101"/>
      <c r="T786" s="241"/>
      <c r="U786" s="241"/>
      <c r="V786" s="241"/>
      <c r="W786" s="241"/>
      <c r="X786" s="241"/>
      <c r="Y786" s="241"/>
      <c r="Z786" s="241"/>
    </row>
    <row r="787" spans="3:26" ht="16.5">
      <c r="C787" s="101"/>
      <c r="D787" s="101"/>
      <c r="E787" s="101"/>
      <c r="F787" s="101"/>
      <c r="G787" s="101"/>
      <c r="H787" s="101"/>
      <c r="I787" s="101"/>
      <c r="J787" s="101"/>
      <c r="S787" s="101"/>
      <c r="T787" s="241"/>
      <c r="U787" s="241"/>
      <c r="V787" s="241"/>
      <c r="W787" s="241"/>
      <c r="X787" s="241"/>
      <c r="Y787" s="241"/>
      <c r="Z787" s="241"/>
    </row>
    <row r="788" spans="3:26" ht="16.5">
      <c r="C788" s="101"/>
      <c r="D788" s="101"/>
      <c r="E788" s="101"/>
      <c r="F788" s="101"/>
      <c r="G788" s="101"/>
      <c r="H788" s="101"/>
      <c r="I788" s="101"/>
      <c r="J788" s="101"/>
      <c r="S788" s="101"/>
      <c r="T788" s="241"/>
      <c r="U788" s="241"/>
      <c r="V788" s="241"/>
      <c r="W788" s="241"/>
      <c r="X788" s="241"/>
      <c r="Y788" s="241"/>
      <c r="Z788" s="241"/>
    </row>
    <row r="789" spans="3:26" ht="16.5">
      <c r="C789" s="101"/>
      <c r="D789" s="101"/>
      <c r="E789" s="101"/>
      <c r="F789" s="101"/>
      <c r="G789" s="101"/>
      <c r="H789" s="101"/>
      <c r="I789" s="101"/>
      <c r="J789" s="101"/>
      <c r="S789" s="101"/>
      <c r="T789" s="241"/>
      <c r="U789" s="241"/>
      <c r="V789" s="241"/>
      <c r="W789" s="241"/>
      <c r="X789" s="241"/>
      <c r="Y789" s="241"/>
      <c r="Z789" s="241"/>
    </row>
    <row r="790" spans="3:26" ht="16.5">
      <c r="C790" s="101"/>
      <c r="D790" s="101"/>
      <c r="E790" s="101"/>
      <c r="F790" s="101"/>
      <c r="G790" s="101"/>
      <c r="H790" s="101"/>
      <c r="I790" s="101"/>
      <c r="J790" s="101"/>
      <c r="S790" s="101"/>
      <c r="T790" s="241"/>
      <c r="U790" s="241"/>
      <c r="V790" s="241"/>
      <c r="W790" s="241"/>
      <c r="X790" s="241"/>
      <c r="Y790" s="241"/>
      <c r="Z790" s="241"/>
    </row>
    <row r="791" spans="3:26" ht="16.5">
      <c r="C791" s="101"/>
      <c r="D791" s="101"/>
      <c r="E791" s="101"/>
      <c r="F791" s="101"/>
      <c r="G791" s="101"/>
      <c r="H791" s="101"/>
      <c r="I791" s="101"/>
      <c r="J791" s="101"/>
      <c r="S791" s="101"/>
      <c r="T791" s="241"/>
      <c r="U791" s="241"/>
      <c r="V791" s="241"/>
      <c r="W791" s="241"/>
      <c r="X791" s="241"/>
      <c r="Y791" s="241"/>
      <c r="Z791" s="241"/>
    </row>
    <row r="792" spans="3:26" ht="16.5">
      <c r="C792" s="101"/>
      <c r="D792" s="101"/>
      <c r="E792" s="101"/>
      <c r="F792" s="101"/>
      <c r="G792" s="101"/>
      <c r="H792" s="101"/>
      <c r="I792" s="101"/>
      <c r="J792" s="101"/>
      <c r="S792" s="101"/>
      <c r="T792" s="241"/>
      <c r="U792" s="241"/>
      <c r="V792" s="241"/>
      <c r="W792" s="241"/>
      <c r="X792" s="241"/>
      <c r="Y792" s="241"/>
      <c r="Z792" s="241"/>
    </row>
    <row r="793" spans="3:26" ht="16.5">
      <c r="C793" s="101"/>
      <c r="D793" s="101"/>
      <c r="E793" s="101"/>
      <c r="F793" s="101"/>
      <c r="G793" s="101"/>
      <c r="H793" s="101"/>
      <c r="I793" s="101"/>
      <c r="J793" s="101"/>
      <c r="S793" s="101"/>
      <c r="T793" s="241"/>
      <c r="U793" s="241"/>
      <c r="V793" s="241"/>
      <c r="W793" s="241"/>
      <c r="X793" s="241"/>
      <c r="Y793" s="241"/>
      <c r="Z793" s="241"/>
    </row>
    <row r="794" spans="3:26" ht="16.5">
      <c r="C794" s="101"/>
      <c r="D794" s="101"/>
      <c r="E794" s="101"/>
      <c r="F794" s="101"/>
      <c r="G794" s="101"/>
      <c r="H794" s="101"/>
      <c r="I794" s="101"/>
      <c r="J794" s="101"/>
      <c r="S794" s="101"/>
      <c r="T794" s="241"/>
      <c r="U794" s="241"/>
      <c r="V794" s="241"/>
      <c r="W794" s="241"/>
      <c r="X794" s="241"/>
      <c r="Y794" s="241"/>
      <c r="Z794" s="241"/>
    </row>
    <row r="795" spans="3:26" ht="16.5">
      <c r="C795" s="101"/>
      <c r="D795" s="101"/>
      <c r="E795" s="101"/>
      <c r="F795" s="101"/>
      <c r="G795" s="101"/>
      <c r="H795" s="101"/>
      <c r="I795" s="101"/>
      <c r="J795" s="101"/>
      <c r="S795" s="101"/>
      <c r="T795" s="241"/>
      <c r="U795" s="241"/>
      <c r="V795" s="241"/>
      <c r="W795" s="241"/>
      <c r="X795" s="241"/>
      <c r="Y795" s="241"/>
      <c r="Z795" s="241"/>
    </row>
    <row r="796" spans="3:26" ht="16.5">
      <c r="C796" s="101"/>
      <c r="D796" s="101"/>
      <c r="E796" s="101"/>
      <c r="F796" s="101"/>
      <c r="G796" s="101"/>
      <c r="H796" s="101"/>
      <c r="I796" s="101"/>
      <c r="J796" s="101"/>
      <c r="S796" s="101"/>
      <c r="T796" s="241"/>
      <c r="U796" s="241"/>
      <c r="V796" s="241"/>
      <c r="W796" s="241"/>
      <c r="X796" s="241"/>
      <c r="Y796" s="241"/>
      <c r="Z796" s="241"/>
    </row>
    <row r="797" spans="3:26" ht="16.5">
      <c r="C797" s="101"/>
      <c r="D797" s="101"/>
      <c r="E797" s="101"/>
      <c r="F797" s="101"/>
      <c r="G797" s="101"/>
      <c r="H797" s="101"/>
      <c r="I797" s="101"/>
      <c r="J797" s="101"/>
      <c r="S797" s="101"/>
      <c r="T797" s="241"/>
      <c r="U797" s="241"/>
      <c r="V797" s="241"/>
      <c r="W797" s="241"/>
      <c r="X797" s="241"/>
      <c r="Y797" s="241"/>
      <c r="Z797" s="241"/>
    </row>
    <row r="798" spans="3:26" ht="16.5">
      <c r="C798" s="101"/>
      <c r="D798" s="101"/>
      <c r="E798" s="101"/>
      <c r="F798" s="101"/>
      <c r="G798" s="101"/>
      <c r="H798" s="101"/>
      <c r="I798" s="101"/>
      <c r="J798" s="101"/>
      <c r="S798" s="101"/>
      <c r="T798" s="241"/>
      <c r="U798" s="241"/>
      <c r="V798" s="241"/>
      <c r="W798" s="241"/>
      <c r="X798" s="241"/>
      <c r="Y798" s="241"/>
      <c r="Z798" s="241"/>
    </row>
    <row r="799" spans="3:26" ht="16.5">
      <c r="C799" s="101"/>
      <c r="D799" s="101"/>
      <c r="E799" s="101"/>
      <c r="F799" s="101"/>
      <c r="G799" s="101"/>
      <c r="H799" s="101"/>
      <c r="I799" s="101"/>
      <c r="J799" s="101"/>
      <c r="S799" s="101"/>
      <c r="T799" s="241"/>
      <c r="U799" s="241"/>
      <c r="V799" s="241"/>
      <c r="W799" s="241"/>
      <c r="X799" s="241"/>
      <c r="Y799" s="241"/>
      <c r="Z799" s="241"/>
    </row>
    <row r="800" spans="3:26" ht="16.5">
      <c r="C800" s="101"/>
      <c r="D800" s="101"/>
      <c r="E800" s="101"/>
      <c r="F800" s="101"/>
      <c r="G800" s="101"/>
      <c r="H800" s="101"/>
      <c r="I800" s="101"/>
      <c r="J800" s="101"/>
      <c r="S800" s="101"/>
      <c r="T800" s="241"/>
      <c r="U800" s="241"/>
      <c r="V800" s="241"/>
      <c r="W800" s="241"/>
      <c r="X800" s="241"/>
      <c r="Y800" s="241"/>
      <c r="Z800" s="241"/>
    </row>
    <row r="801" spans="3:26" ht="16.5">
      <c r="C801" s="101"/>
      <c r="D801" s="101"/>
      <c r="E801" s="101"/>
      <c r="F801" s="101"/>
      <c r="G801" s="101"/>
      <c r="H801" s="101"/>
      <c r="I801" s="101"/>
      <c r="J801" s="101"/>
      <c r="S801" s="101"/>
      <c r="T801" s="241"/>
      <c r="U801" s="241"/>
      <c r="V801" s="241"/>
      <c r="W801" s="241"/>
      <c r="X801" s="241"/>
      <c r="Y801" s="241"/>
      <c r="Z801" s="241"/>
    </row>
    <row r="802" spans="3:26" ht="16.5">
      <c r="C802" s="101"/>
      <c r="D802" s="101"/>
      <c r="E802" s="101"/>
      <c r="F802" s="101"/>
      <c r="G802" s="101"/>
      <c r="H802" s="101"/>
      <c r="I802" s="101"/>
      <c r="J802" s="101"/>
      <c r="S802" s="101"/>
      <c r="T802" s="241"/>
      <c r="U802" s="241"/>
      <c r="V802" s="241"/>
      <c r="W802" s="241"/>
      <c r="X802" s="241"/>
      <c r="Y802" s="241"/>
      <c r="Z802" s="241"/>
    </row>
    <row r="803" spans="3:26" ht="16.5">
      <c r="C803" s="101"/>
      <c r="D803" s="101"/>
      <c r="E803" s="101"/>
      <c r="F803" s="101"/>
      <c r="G803" s="101"/>
      <c r="H803" s="101"/>
      <c r="I803" s="101"/>
      <c r="J803" s="101"/>
      <c r="S803" s="101"/>
      <c r="T803" s="241"/>
      <c r="U803" s="241"/>
      <c r="V803" s="241"/>
      <c r="W803" s="241"/>
      <c r="X803" s="241"/>
      <c r="Y803" s="241"/>
      <c r="Z803" s="241"/>
    </row>
    <row r="804" spans="3:26" ht="16.5">
      <c r="C804" s="101"/>
      <c r="D804" s="101"/>
      <c r="E804" s="101"/>
      <c r="F804" s="101"/>
      <c r="G804" s="101"/>
      <c r="H804" s="101"/>
      <c r="I804" s="101"/>
      <c r="J804" s="101"/>
      <c r="S804" s="101"/>
      <c r="T804" s="241"/>
      <c r="U804" s="241"/>
      <c r="V804" s="241"/>
      <c r="W804" s="241"/>
      <c r="X804" s="241"/>
      <c r="Y804" s="241"/>
      <c r="Z804" s="241"/>
    </row>
    <row r="805" spans="3:26" ht="16.5">
      <c r="C805" s="101"/>
      <c r="D805" s="101"/>
      <c r="E805" s="101"/>
      <c r="F805" s="101"/>
      <c r="G805" s="101"/>
      <c r="H805" s="101"/>
      <c r="I805" s="101"/>
      <c r="J805" s="101"/>
      <c r="S805" s="101"/>
      <c r="T805" s="241"/>
      <c r="U805" s="241"/>
      <c r="V805" s="241"/>
      <c r="W805" s="241"/>
      <c r="X805" s="241"/>
      <c r="Y805" s="241"/>
      <c r="Z805" s="241"/>
    </row>
    <row r="806" spans="3:26" ht="16.5">
      <c r="C806" s="101"/>
      <c r="D806" s="101"/>
      <c r="E806" s="101"/>
      <c r="F806" s="101"/>
      <c r="G806" s="101"/>
      <c r="H806" s="101"/>
      <c r="I806" s="101"/>
      <c r="J806" s="101"/>
      <c r="S806" s="101"/>
      <c r="T806" s="241"/>
      <c r="U806" s="241"/>
      <c r="V806" s="241"/>
      <c r="W806" s="241"/>
      <c r="X806" s="241"/>
      <c r="Y806" s="241"/>
      <c r="Z806" s="241"/>
    </row>
    <row r="807" spans="3:26" ht="16.5">
      <c r="C807" s="101"/>
      <c r="D807" s="101"/>
      <c r="E807" s="101"/>
      <c r="F807" s="101"/>
      <c r="G807" s="101"/>
      <c r="H807" s="101"/>
      <c r="I807" s="101"/>
      <c r="J807" s="101"/>
      <c r="S807" s="101"/>
      <c r="T807" s="241"/>
      <c r="U807" s="241"/>
      <c r="V807" s="241"/>
      <c r="W807" s="241"/>
      <c r="X807" s="241"/>
      <c r="Y807" s="241"/>
      <c r="Z807" s="241"/>
    </row>
    <row r="808" spans="3:26" ht="16.5">
      <c r="C808" s="101"/>
      <c r="D808" s="101"/>
      <c r="E808" s="101"/>
      <c r="F808" s="101"/>
      <c r="G808" s="101"/>
      <c r="H808" s="101"/>
      <c r="I808" s="101"/>
      <c r="J808" s="101"/>
      <c r="S808" s="101"/>
      <c r="T808" s="241"/>
      <c r="U808" s="241"/>
      <c r="V808" s="241"/>
      <c r="W808" s="241"/>
      <c r="X808" s="241"/>
      <c r="Y808" s="241"/>
      <c r="Z808" s="241"/>
    </row>
    <row r="809" spans="3:26" ht="16.5">
      <c r="C809" s="101"/>
      <c r="D809" s="101"/>
      <c r="E809" s="101"/>
      <c r="F809" s="101"/>
      <c r="G809" s="101"/>
      <c r="H809" s="101"/>
      <c r="I809" s="101"/>
      <c r="J809" s="101"/>
      <c r="S809" s="101"/>
      <c r="T809" s="241"/>
      <c r="U809" s="241"/>
      <c r="V809" s="241"/>
      <c r="W809" s="241"/>
      <c r="X809" s="241"/>
      <c r="Y809" s="241"/>
      <c r="Z809" s="241"/>
    </row>
    <row r="810" spans="3:26" ht="16.5">
      <c r="C810" s="101"/>
      <c r="D810" s="101"/>
      <c r="E810" s="101"/>
      <c r="F810" s="101"/>
      <c r="G810" s="101"/>
      <c r="H810" s="101"/>
      <c r="I810" s="101"/>
      <c r="J810" s="101"/>
      <c r="S810" s="101"/>
      <c r="T810" s="241"/>
      <c r="U810" s="241"/>
      <c r="V810" s="241"/>
      <c r="W810" s="241"/>
      <c r="X810" s="241"/>
      <c r="Y810" s="241"/>
      <c r="Z810" s="241"/>
    </row>
    <row r="811" spans="3:26" ht="16.5">
      <c r="C811" s="101"/>
      <c r="D811" s="101"/>
      <c r="E811" s="101"/>
      <c r="F811" s="101"/>
      <c r="G811" s="101"/>
      <c r="H811" s="101"/>
      <c r="I811" s="101"/>
      <c r="J811" s="101"/>
      <c r="S811" s="101"/>
      <c r="T811" s="241"/>
      <c r="U811" s="241"/>
      <c r="V811" s="241"/>
      <c r="W811" s="241"/>
      <c r="X811" s="241"/>
      <c r="Y811" s="241"/>
      <c r="Z811" s="241"/>
    </row>
    <row r="812" spans="3:26" ht="16.5">
      <c r="C812" s="101"/>
      <c r="D812" s="101"/>
      <c r="E812" s="101"/>
      <c r="F812" s="101"/>
      <c r="G812" s="101"/>
      <c r="H812" s="101"/>
      <c r="I812" s="101"/>
      <c r="J812" s="101"/>
      <c r="S812" s="101"/>
      <c r="T812" s="241"/>
      <c r="U812" s="241"/>
      <c r="V812" s="241"/>
      <c r="W812" s="241"/>
      <c r="X812" s="241"/>
      <c r="Y812" s="241"/>
      <c r="Z812" s="241"/>
    </row>
    <row r="813" spans="3:26" ht="16.5">
      <c r="C813" s="101"/>
      <c r="D813" s="101"/>
      <c r="E813" s="101"/>
      <c r="F813" s="101"/>
      <c r="G813" s="101"/>
      <c r="H813" s="101"/>
      <c r="I813" s="101"/>
      <c r="J813" s="101"/>
      <c r="S813" s="101"/>
      <c r="T813" s="241"/>
      <c r="U813" s="241"/>
      <c r="V813" s="241"/>
      <c r="W813" s="241"/>
      <c r="X813" s="241"/>
      <c r="Y813" s="241"/>
      <c r="Z813" s="241"/>
    </row>
    <row r="814" spans="3:26" ht="16.5">
      <c r="C814" s="101"/>
      <c r="D814" s="101"/>
      <c r="E814" s="101"/>
      <c r="F814" s="101"/>
      <c r="G814" s="101"/>
      <c r="H814" s="101"/>
      <c r="I814" s="101"/>
      <c r="J814" s="101"/>
      <c r="S814" s="101"/>
      <c r="T814" s="241"/>
      <c r="U814" s="241"/>
      <c r="V814" s="241"/>
      <c r="W814" s="241"/>
      <c r="X814" s="241"/>
      <c r="Y814" s="241"/>
      <c r="Z814" s="241"/>
    </row>
    <row r="815" spans="3:26" ht="16.5">
      <c r="C815" s="101"/>
      <c r="D815" s="101"/>
      <c r="E815" s="101"/>
      <c r="F815" s="101"/>
      <c r="G815" s="101"/>
      <c r="H815" s="101"/>
      <c r="I815" s="101"/>
      <c r="J815" s="101"/>
      <c r="S815" s="101"/>
      <c r="T815" s="241"/>
      <c r="U815" s="241"/>
      <c r="V815" s="241"/>
      <c r="W815" s="241"/>
      <c r="X815" s="241"/>
      <c r="Y815" s="241"/>
      <c r="Z815" s="241"/>
    </row>
    <row r="816" spans="3:26" ht="16.5">
      <c r="C816" s="101"/>
      <c r="D816" s="101"/>
      <c r="E816" s="101"/>
      <c r="F816" s="101"/>
      <c r="G816" s="101"/>
      <c r="H816" s="101"/>
      <c r="I816" s="101"/>
      <c r="J816" s="101"/>
      <c r="S816" s="101"/>
      <c r="T816" s="241"/>
      <c r="U816" s="241"/>
      <c r="V816" s="241"/>
      <c r="W816" s="241"/>
      <c r="X816" s="241"/>
      <c r="Y816" s="241"/>
      <c r="Z816" s="241"/>
    </row>
    <row r="817" spans="3:26" ht="16.5">
      <c r="C817" s="101"/>
      <c r="D817" s="101"/>
      <c r="E817" s="101"/>
      <c r="F817" s="101"/>
      <c r="G817" s="101"/>
      <c r="H817" s="101"/>
      <c r="I817" s="101"/>
      <c r="J817" s="101"/>
      <c r="S817" s="101"/>
      <c r="T817" s="241"/>
      <c r="U817" s="241"/>
      <c r="V817" s="241"/>
      <c r="W817" s="241"/>
      <c r="X817" s="241"/>
      <c r="Y817" s="241"/>
      <c r="Z817" s="241"/>
    </row>
    <row r="818" spans="3:26" ht="16.5">
      <c r="C818" s="101"/>
      <c r="D818" s="101"/>
      <c r="E818" s="101"/>
      <c r="F818" s="101"/>
      <c r="G818" s="101"/>
      <c r="H818" s="101"/>
      <c r="I818" s="101"/>
      <c r="J818" s="101"/>
      <c r="S818" s="101"/>
      <c r="T818" s="241"/>
      <c r="U818" s="241"/>
      <c r="V818" s="241"/>
      <c r="W818" s="241"/>
      <c r="X818" s="241"/>
      <c r="Y818" s="241"/>
      <c r="Z818" s="241"/>
    </row>
    <row r="819" spans="3:26" ht="16.5">
      <c r="C819" s="101"/>
      <c r="D819" s="101"/>
      <c r="E819" s="101"/>
      <c r="F819" s="101"/>
      <c r="G819" s="101"/>
      <c r="H819" s="101"/>
      <c r="I819" s="101"/>
      <c r="J819" s="101"/>
      <c r="S819" s="101"/>
      <c r="T819" s="241"/>
      <c r="U819" s="241"/>
      <c r="V819" s="241"/>
      <c r="W819" s="241"/>
      <c r="X819" s="241"/>
      <c r="Y819" s="241"/>
      <c r="Z819" s="241"/>
    </row>
    <row r="820" spans="3:26" ht="16.5">
      <c r="C820" s="101"/>
      <c r="D820" s="101"/>
      <c r="E820" s="101"/>
      <c r="F820" s="101"/>
      <c r="G820" s="101"/>
      <c r="H820" s="101"/>
      <c r="I820" s="101"/>
      <c r="J820" s="101"/>
      <c r="S820" s="101"/>
      <c r="T820" s="241"/>
      <c r="U820" s="241"/>
      <c r="V820" s="241"/>
      <c r="W820" s="241"/>
      <c r="X820" s="241"/>
      <c r="Y820" s="241"/>
      <c r="Z820" s="241"/>
    </row>
    <row r="821" spans="3:26" ht="16.5">
      <c r="C821" s="101"/>
      <c r="D821" s="101"/>
      <c r="E821" s="101"/>
      <c r="F821" s="101"/>
      <c r="G821" s="101"/>
      <c r="H821" s="101"/>
      <c r="I821" s="101"/>
      <c r="J821" s="101"/>
      <c r="S821" s="101"/>
      <c r="T821" s="241"/>
      <c r="U821" s="241"/>
      <c r="V821" s="241"/>
      <c r="W821" s="241"/>
      <c r="X821" s="241"/>
      <c r="Y821" s="241"/>
      <c r="Z821" s="241"/>
    </row>
    <row r="822" spans="3:26" ht="16.5">
      <c r="C822" s="101"/>
      <c r="D822" s="101"/>
      <c r="E822" s="101"/>
      <c r="F822" s="101"/>
      <c r="G822" s="101"/>
      <c r="H822" s="101"/>
      <c r="I822" s="101"/>
      <c r="J822" s="101"/>
      <c r="S822" s="101"/>
      <c r="T822" s="241"/>
      <c r="U822" s="241"/>
      <c r="V822" s="241"/>
      <c r="W822" s="241"/>
      <c r="X822" s="241"/>
      <c r="Y822" s="241"/>
      <c r="Z822" s="241"/>
    </row>
    <row r="823" spans="3:26" ht="16.5">
      <c r="C823" s="101"/>
      <c r="D823" s="101"/>
      <c r="E823" s="101"/>
      <c r="F823" s="101"/>
      <c r="G823" s="101"/>
      <c r="H823" s="101"/>
      <c r="I823" s="101"/>
      <c r="J823" s="101"/>
      <c r="S823" s="101"/>
      <c r="T823" s="241"/>
      <c r="U823" s="241"/>
      <c r="V823" s="241"/>
      <c r="W823" s="241"/>
      <c r="X823" s="241"/>
      <c r="Y823" s="241"/>
      <c r="Z823" s="241"/>
    </row>
    <row r="824" spans="3:26" ht="16.5">
      <c r="C824" s="101"/>
      <c r="D824" s="101"/>
      <c r="E824" s="101"/>
      <c r="F824" s="101"/>
      <c r="G824" s="101"/>
      <c r="H824" s="101"/>
      <c r="I824" s="101"/>
      <c r="J824" s="101"/>
      <c r="S824" s="101"/>
      <c r="T824" s="241"/>
      <c r="U824" s="241"/>
      <c r="V824" s="241"/>
      <c r="W824" s="241"/>
      <c r="X824" s="241"/>
      <c r="Y824" s="241"/>
      <c r="Z824" s="241"/>
    </row>
    <row r="825" spans="3:26" ht="16.5">
      <c r="C825" s="101"/>
      <c r="D825" s="101"/>
      <c r="E825" s="101"/>
      <c r="F825" s="101"/>
      <c r="G825" s="101"/>
      <c r="H825" s="101"/>
      <c r="I825" s="101"/>
      <c r="J825" s="101"/>
      <c r="S825" s="101"/>
      <c r="T825" s="241"/>
      <c r="U825" s="241"/>
      <c r="V825" s="241"/>
      <c r="W825" s="241"/>
      <c r="X825" s="241"/>
      <c r="Y825" s="241"/>
      <c r="Z825" s="241"/>
    </row>
    <row r="826" spans="3:26" ht="16.5">
      <c r="C826" s="101"/>
      <c r="D826" s="101"/>
      <c r="E826" s="101"/>
      <c r="F826" s="101"/>
      <c r="G826" s="101"/>
      <c r="H826" s="101"/>
      <c r="I826" s="101"/>
      <c r="J826" s="101"/>
      <c r="S826" s="101"/>
      <c r="T826" s="241"/>
      <c r="U826" s="241"/>
      <c r="V826" s="241"/>
      <c r="W826" s="241"/>
      <c r="X826" s="241"/>
      <c r="Y826" s="241"/>
      <c r="Z826" s="241"/>
    </row>
    <row r="827" spans="3:26" ht="16.5">
      <c r="C827" s="101"/>
      <c r="D827" s="101"/>
      <c r="E827" s="101"/>
      <c r="F827" s="101"/>
      <c r="G827" s="101"/>
      <c r="H827" s="101"/>
      <c r="I827" s="101"/>
      <c r="J827" s="101"/>
      <c r="S827" s="101"/>
      <c r="T827" s="241"/>
      <c r="U827" s="241"/>
      <c r="V827" s="241"/>
      <c r="W827" s="241"/>
      <c r="X827" s="241"/>
      <c r="Y827" s="241"/>
      <c r="Z827" s="241"/>
    </row>
    <row r="828" spans="3:26" ht="16.5">
      <c r="C828" s="101"/>
      <c r="D828" s="101"/>
      <c r="E828" s="101"/>
      <c r="F828" s="101"/>
      <c r="G828" s="101"/>
      <c r="H828" s="101"/>
      <c r="I828" s="101"/>
      <c r="J828" s="101"/>
      <c r="S828" s="101"/>
      <c r="T828" s="241"/>
      <c r="U828" s="241"/>
      <c r="V828" s="241"/>
      <c r="W828" s="241"/>
      <c r="X828" s="241"/>
      <c r="Y828" s="241"/>
      <c r="Z828" s="241"/>
    </row>
    <row r="829" spans="3:26" ht="16.5">
      <c r="C829" s="101"/>
      <c r="D829" s="101"/>
      <c r="E829" s="101"/>
      <c r="F829" s="101"/>
      <c r="G829" s="101"/>
      <c r="H829" s="101"/>
      <c r="I829" s="101"/>
      <c r="J829" s="101"/>
      <c r="S829" s="101"/>
      <c r="T829" s="241"/>
      <c r="U829" s="241"/>
      <c r="V829" s="241"/>
      <c r="W829" s="241"/>
      <c r="X829" s="241"/>
      <c r="Y829" s="241"/>
      <c r="Z829" s="241"/>
    </row>
    <row r="830" spans="3:26" ht="16.5">
      <c r="C830" s="101"/>
      <c r="D830" s="101"/>
      <c r="E830" s="101"/>
      <c r="F830" s="101"/>
      <c r="G830" s="101"/>
      <c r="H830" s="101"/>
      <c r="I830" s="101"/>
      <c r="J830" s="101"/>
      <c r="S830" s="101"/>
      <c r="T830" s="241"/>
      <c r="U830" s="241"/>
      <c r="V830" s="241"/>
      <c r="W830" s="241"/>
      <c r="X830" s="241"/>
      <c r="Y830" s="241"/>
      <c r="Z830" s="241"/>
    </row>
    <row r="831" spans="3:26" ht="16.5">
      <c r="C831" s="101"/>
      <c r="D831" s="101"/>
      <c r="E831" s="101"/>
      <c r="F831" s="101"/>
      <c r="G831" s="101"/>
      <c r="H831" s="101"/>
      <c r="I831" s="101"/>
      <c r="J831" s="101"/>
      <c r="S831" s="101"/>
      <c r="T831" s="241"/>
      <c r="U831" s="241"/>
      <c r="V831" s="241"/>
      <c r="W831" s="241"/>
      <c r="X831" s="241"/>
      <c r="Y831" s="241"/>
      <c r="Z831" s="241"/>
    </row>
    <row r="832" spans="3:26" ht="16.5">
      <c r="C832" s="101"/>
      <c r="D832" s="101"/>
      <c r="E832" s="101"/>
      <c r="F832" s="101"/>
      <c r="G832" s="101"/>
      <c r="H832" s="101"/>
      <c r="I832" s="101"/>
      <c r="J832" s="101"/>
      <c r="S832" s="101"/>
      <c r="T832" s="241"/>
      <c r="U832" s="241"/>
      <c r="V832" s="241"/>
      <c r="W832" s="241"/>
      <c r="X832" s="241"/>
      <c r="Y832" s="241"/>
      <c r="Z832" s="241"/>
    </row>
    <row r="833" spans="3:26" ht="16.5">
      <c r="C833" s="101"/>
      <c r="D833" s="101"/>
      <c r="E833" s="101"/>
      <c r="F833" s="101"/>
      <c r="G833" s="101"/>
      <c r="H833" s="101"/>
      <c r="I833" s="101"/>
      <c r="J833" s="101"/>
      <c r="S833" s="101"/>
      <c r="T833" s="241"/>
      <c r="U833" s="241"/>
      <c r="V833" s="241"/>
      <c r="W833" s="241"/>
      <c r="X833" s="241"/>
      <c r="Y833" s="241"/>
      <c r="Z833" s="241"/>
    </row>
    <row r="834" spans="3:26" ht="16.5">
      <c r="C834" s="101"/>
      <c r="D834" s="101"/>
      <c r="E834" s="101"/>
      <c r="F834" s="101"/>
      <c r="G834" s="101"/>
      <c r="H834" s="101"/>
      <c r="I834" s="101"/>
      <c r="J834" s="101"/>
      <c r="S834" s="101"/>
      <c r="T834" s="241"/>
      <c r="U834" s="241"/>
      <c r="V834" s="241"/>
      <c r="W834" s="241"/>
      <c r="X834" s="241"/>
      <c r="Y834" s="241"/>
      <c r="Z834" s="241"/>
    </row>
    <row r="835" spans="3:26" ht="16.5">
      <c r="C835" s="101"/>
      <c r="D835" s="101"/>
      <c r="E835" s="101"/>
      <c r="F835" s="101"/>
      <c r="G835" s="101"/>
      <c r="H835" s="101"/>
      <c r="I835" s="101"/>
      <c r="J835" s="101"/>
      <c r="S835" s="101"/>
      <c r="T835" s="241"/>
      <c r="U835" s="241"/>
      <c r="V835" s="241"/>
      <c r="W835" s="241"/>
      <c r="X835" s="241"/>
      <c r="Y835" s="241"/>
      <c r="Z835" s="241"/>
    </row>
    <row r="836" spans="3:26" ht="16.5">
      <c r="C836" s="101"/>
      <c r="D836" s="101"/>
      <c r="E836" s="101"/>
      <c r="F836" s="101"/>
      <c r="G836" s="101"/>
      <c r="H836" s="101"/>
      <c r="I836" s="101"/>
      <c r="J836" s="101"/>
      <c r="S836" s="101"/>
      <c r="T836" s="241"/>
      <c r="U836" s="241"/>
      <c r="V836" s="241"/>
      <c r="W836" s="241"/>
      <c r="X836" s="241"/>
      <c r="Y836" s="241"/>
      <c r="Z836" s="241"/>
    </row>
    <row r="837" spans="3:26" ht="16.5">
      <c r="C837" s="101"/>
      <c r="D837" s="101"/>
      <c r="E837" s="101"/>
      <c r="F837" s="101"/>
      <c r="G837" s="101"/>
      <c r="H837" s="101"/>
      <c r="I837" s="101"/>
      <c r="J837" s="101"/>
      <c r="S837" s="101"/>
      <c r="T837" s="241"/>
      <c r="U837" s="241"/>
      <c r="V837" s="241"/>
      <c r="W837" s="241"/>
      <c r="X837" s="241"/>
      <c r="Y837" s="241"/>
      <c r="Z837" s="241"/>
    </row>
    <row r="838" spans="3:26" ht="16.5">
      <c r="C838" s="101"/>
      <c r="D838" s="101"/>
      <c r="E838" s="101"/>
      <c r="F838" s="101"/>
      <c r="G838" s="101"/>
      <c r="H838" s="101"/>
      <c r="I838" s="101"/>
      <c r="J838" s="101"/>
      <c r="S838" s="101"/>
      <c r="T838" s="241"/>
      <c r="U838" s="241"/>
      <c r="V838" s="241"/>
      <c r="W838" s="241"/>
      <c r="X838" s="241"/>
      <c r="Y838" s="241"/>
      <c r="Z838" s="241"/>
    </row>
    <row r="839" spans="3:26" ht="16.5">
      <c r="C839" s="101"/>
      <c r="D839" s="101"/>
      <c r="E839" s="101"/>
      <c r="F839" s="101"/>
      <c r="G839" s="101"/>
      <c r="H839" s="101"/>
      <c r="I839" s="101"/>
      <c r="J839" s="101"/>
      <c r="S839" s="101"/>
      <c r="T839" s="241"/>
      <c r="U839" s="241"/>
      <c r="V839" s="241"/>
      <c r="W839" s="241"/>
      <c r="X839" s="241"/>
      <c r="Y839" s="241"/>
      <c r="Z839" s="241"/>
    </row>
    <row r="840" spans="3:26" ht="16.5">
      <c r="C840" s="101"/>
      <c r="D840" s="101"/>
      <c r="E840" s="101"/>
      <c r="F840" s="101"/>
      <c r="G840" s="101"/>
      <c r="H840" s="101"/>
      <c r="I840" s="101"/>
      <c r="J840" s="101"/>
      <c r="S840" s="101"/>
      <c r="T840" s="241"/>
      <c r="U840" s="241"/>
      <c r="V840" s="241"/>
      <c r="W840" s="241"/>
      <c r="X840" s="241"/>
      <c r="Y840" s="241"/>
      <c r="Z840" s="241"/>
    </row>
    <row r="841" spans="3:26" ht="16.5">
      <c r="C841" s="101"/>
      <c r="D841" s="101"/>
      <c r="E841" s="101"/>
      <c r="F841" s="101"/>
      <c r="G841" s="101"/>
      <c r="H841" s="101"/>
      <c r="I841" s="101"/>
      <c r="J841" s="101"/>
      <c r="S841" s="101"/>
      <c r="T841" s="241"/>
      <c r="U841" s="241"/>
      <c r="V841" s="241"/>
      <c r="W841" s="241"/>
      <c r="X841" s="241"/>
      <c r="Y841" s="241"/>
      <c r="Z841" s="241"/>
    </row>
    <row r="842" spans="3:26" ht="16.5">
      <c r="C842" s="101"/>
      <c r="D842" s="101"/>
      <c r="E842" s="101"/>
      <c r="F842" s="101"/>
      <c r="G842" s="101"/>
      <c r="H842" s="101"/>
      <c r="I842" s="101"/>
      <c r="J842" s="101"/>
      <c r="S842" s="101"/>
      <c r="T842" s="241"/>
      <c r="U842" s="241"/>
      <c r="V842" s="241"/>
      <c r="W842" s="241"/>
      <c r="X842" s="241"/>
      <c r="Y842" s="241"/>
      <c r="Z842" s="241"/>
    </row>
    <row r="843" spans="3:26" ht="16.5">
      <c r="C843" s="101"/>
      <c r="D843" s="101"/>
      <c r="E843" s="101"/>
      <c r="F843" s="101"/>
      <c r="G843" s="101"/>
      <c r="H843" s="101"/>
      <c r="I843" s="101"/>
      <c r="J843" s="101"/>
      <c r="S843" s="101"/>
      <c r="T843" s="241"/>
      <c r="U843" s="241"/>
      <c r="V843" s="241"/>
      <c r="W843" s="241"/>
      <c r="X843" s="241"/>
      <c r="Y843" s="241"/>
      <c r="Z843" s="241"/>
    </row>
    <row r="844" spans="3:26" ht="16.5">
      <c r="C844" s="101"/>
      <c r="D844" s="101"/>
      <c r="E844" s="101"/>
      <c r="F844" s="101"/>
      <c r="G844" s="101"/>
      <c r="H844" s="101"/>
      <c r="I844" s="101"/>
      <c r="J844" s="101"/>
      <c r="S844" s="101"/>
      <c r="T844" s="241"/>
      <c r="U844" s="241"/>
      <c r="V844" s="241"/>
      <c r="W844" s="241"/>
      <c r="X844" s="241"/>
      <c r="Y844" s="241"/>
      <c r="Z844" s="241"/>
    </row>
    <row r="845" spans="3:26" ht="16.5">
      <c r="C845" s="101"/>
      <c r="D845" s="101"/>
      <c r="E845" s="101"/>
      <c r="F845" s="101"/>
      <c r="G845" s="101"/>
      <c r="H845" s="101"/>
      <c r="I845" s="101"/>
      <c r="J845" s="101"/>
      <c r="S845" s="101"/>
      <c r="T845" s="241"/>
      <c r="U845" s="241"/>
      <c r="V845" s="241"/>
      <c r="W845" s="241"/>
      <c r="X845" s="241"/>
      <c r="Y845" s="241"/>
      <c r="Z845" s="241"/>
    </row>
    <row r="846" spans="3:26" ht="16.5">
      <c r="C846" s="101"/>
      <c r="D846" s="101"/>
      <c r="E846" s="101"/>
      <c r="F846" s="101"/>
      <c r="G846" s="101"/>
      <c r="H846" s="101"/>
      <c r="I846" s="101"/>
      <c r="J846" s="101"/>
      <c r="S846" s="101"/>
      <c r="T846" s="241"/>
      <c r="U846" s="241"/>
      <c r="V846" s="241"/>
      <c r="W846" s="241"/>
      <c r="X846" s="241"/>
      <c r="Y846" s="241"/>
      <c r="Z846" s="241"/>
    </row>
    <row r="847" spans="3:26" ht="16.5">
      <c r="C847" s="101"/>
      <c r="D847" s="101"/>
      <c r="E847" s="101"/>
      <c r="F847" s="101"/>
      <c r="G847" s="101"/>
      <c r="H847" s="101"/>
      <c r="I847" s="101"/>
      <c r="J847" s="101"/>
      <c r="S847" s="101"/>
      <c r="T847" s="241"/>
      <c r="U847" s="241"/>
      <c r="V847" s="241"/>
      <c r="W847" s="241"/>
      <c r="X847" s="241"/>
      <c r="Y847" s="241"/>
      <c r="Z847" s="241"/>
    </row>
    <row r="848" spans="3:26" ht="16.5">
      <c r="C848" s="101"/>
      <c r="D848" s="101"/>
      <c r="E848" s="101"/>
      <c r="F848" s="101"/>
      <c r="G848" s="101"/>
      <c r="H848" s="101"/>
      <c r="I848" s="101"/>
      <c r="J848" s="101"/>
      <c r="S848" s="101"/>
      <c r="T848" s="241"/>
      <c r="U848" s="241"/>
      <c r="V848" s="241"/>
      <c r="W848" s="241"/>
      <c r="X848" s="241"/>
      <c r="Y848" s="241"/>
      <c r="Z848" s="241"/>
    </row>
    <row r="849" spans="3:26" ht="16.5">
      <c r="C849" s="101"/>
      <c r="D849" s="101"/>
      <c r="E849" s="101"/>
      <c r="F849" s="101"/>
      <c r="G849" s="101"/>
      <c r="H849" s="101"/>
      <c r="I849" s="101"/>
      <c r="J849" s="101"/>
      <c r="S849" s="101"/>
      <c r="T849" s="241"/>
      <c r="U849" s="241"/>
      <c r="V849" s="241"/>
      <c r="W849" s="241"/>
      <c r="X849" s="241"/>
      <c r="Y849" s="241"/>
      <c r="Z849" s="241"/>
    </row>
    <row r="850" spans="3:26" ht="16.5">
      <c r="C850" s="101"/>
      <c r="D850" s="101"/>
      <c r="E850" s="101"/>
      <c r="F850" s="101"/>
      <c r="G850" s="101"/>
      <c r="H850" s="101"/>
      <c r="I850" s="101"/>
      <c r="J850" s="101"/>
      <c r="S850" s="101"/>
      <c r="T850" s="241"/>
      <c r="U850" s="241"/>
      <c r="V850" s="241"/>
      <c r="W850" s="241"/>
      <c r="X850" s="241"/>
      <c r="Y850" s="241"/>
      <c r="Z850" s="241"/>
    </row>
    <row r="851" spans="3:26" ht="16.5">
      <c r="C851" s="101"/>
      <c r="D851" s="101"/>
      <c r="E851" s="101"/>
      <c r="F851" s="101"/>
      <c r="G851" s="101"/>
      <c r="H851" s="101"/>
      <c r="I851" s="101"/>
      <c r="J851" s="101"/>
      <c r="S851" s="101"/>
      <c r="T851" s="241"/>
      <c r="U851" s="241"/>
      <c r="V851" s="241"/>
      <c r="W851" s="241"/>
      <c r="X851" s="241"/>
      <c r="Y851" s="241"/>
      <c r="Z851" s="241"/>
    </row>
    <row r="852" spans="3:26" ht="16.5">
      <c r="C852" s="101"/>
      <c r="D852" s="101"/>
      <c r="E852" s="101"/>
      <c r="F852" s="101"/>
      <c r="G852" s="101"/>
      <c r="H852" s="101"/>
      <c r="I852" s="101"/>
      <c r="J852" s="101"/>
      <c r="S852" s="101"/>
      <c r="T852" s="241"/>
      <c r="U852" s="241"/>
      <c r="V852" s="241"/>
      <c r="W852" s="241"/>
      <c r="X852" s="241"/>
      <c r="Y852" s="241"/>
      <c r="Z852" s="241"/>
    </row>
    <row r="853" spans="3:26" ht="16.5">
      <c r="C853" s="101"/>
      <c r="D853" s="101"/>
      <c r="E853" s="101"/>
      <c r="F853" s="101"/>
      <c r="G853" s="101"/>
      <c r="H853" s="101"/>
      <c r="I853" s="101"/>
      <c r="J853" s="101"/>
      <c r="S853" s="101"/>
      <c r="T853" s="241"/>
      <c r="U853" s="241"/>
      <c r="V853" s="241"/>
      <c r="W853" s="241"/>
      <c r="X853" s="241"/>
      <c r="Y853" s="241"/>
      <c r="Z853" s="241"/>
    </row>
    <row r="854" spans="3:26" ht="16.5">
      <c r="C854" s="101"/>
      <c r="D854" s="101"/>
      <c r="E854" s="101"/>
      <c r="F854" s="101"/>
      <c r="G854" s="101"/>
      <c r="H854" s="101"/>
      <c r="I854" s="101"/>
      <c r="J854" s="101"/>
      <c r="S854" s="101"/>
      <c r="T854" s="241"/>
      <c r="U854" s="241"/>
      <c r="V854" s="241"/>
      <c r="W854" s="241"/>
      <c r="X854" s="241"/>
      <c r="Y854" s="241"/>
      <c r="Z854" s="241"/>
    </row>
    <row r="855" spans="3:26" ht="16.5">
      <c r="C855" s="101"/>
      <c r="D855" s="101"/>
      <c r="E855" s="101"/>
      <c r="F855" s="101"/>
      <c r="G855" s="101"/>
      <c r="H855" s="101"/>
      <c r="I855" s="101"/>
      <c r="J855" s="101"/>
      <c r="S855" s="101"/>
      <c r="T855" s="241"/>
      <c r="U855" s="241"/>
      <c r="V855" s="241"/>
      <c r="W855" s="241"/>
      <c r="X855" s="241"/>
      <c r="Y855" s="241"/>
      <c r="Z855" s="241"/>
    </row>
    <row r="856" spans="3:26" ht="16.5">
      <c r="C856" s="101"/>
      <c r="D856" s="101"/>
      <c r="E856" s="101"/>
      <c r="F856" s="101"/>
      <c r="G856" s="101"/>
      <c r="H856" s="101"/>
      <c r="I856" s="101"/>
      <c r="J856" s="101"/>
      <c r="S856" s="101"/>
      <c r="T856" s="241"/>
      <c r="U856" s="241"/>
      <c r="V856" s="241"/>
      <c r="W856" s="241"/>
      <c r="X856" s="241"/>
      <c r="Y856" s="241"/>
      <c r="Z856" s="241"/>
    </row>
    <row r="857" spans="3:26" ht="16.5">
      <c r="C857" s="101"/>
      <c r="D857" s="101"/>
      <c r="E857" s="101"/>
      <c r="F857" s="101"/>
      <c r="G857" s="101"/>
      <c r="H857" s="101"/>
      <c r="I857" s="101"/>
      <c r="J857" s="101"/>
      <c r="S857" s="101"/>
      <c r="T857" s="241"/>
      <c r="U857" s="241"/>
      <c r="V857" s="241"/>
      <c r="W857" s="241"/>
      <c r="X857" s="241"/>
      <c r="Y857" s="241"/>
      <c r="Z857" s="241"/>
    </row>
    <row r="858" spans="3:26" ht="16.5">
      <c r="C858" s="101"/>
      <c r="D858" s="101"/>
      <c r="E858" s="101"/>
      <c r="F858" s="101"/>
      <c r="G858" s="101"/>
      <c r="H858" s="101"/>
      <c r="I858" s="101"/>
      <c r="J858" s="101"/>
      <c r="S858" s="101"/>
      <c r="T858" s="241"/>
      <c r="U858" s="241"/>
      <c r="V858" s="241"/>
      <c r="W858" s="241"/>
      <c r="X858" s="241"/>
      <c r="Y858" s="241"/>
      <c r="Z858" s="241"/>
    </row>
    <row r="859" spans="3:26" ht="16.5">
      <c r="C859" s="101"/>
      <c r="D859" s="101"/>
      <c r="E859" s="101"/>
      <c r="F859" s="101"/>
      <c r="G859" s="101"/>
      <c r="H859" s="101"/>
      <c r="I859" s="101"/>
      <c r="J859" s="101"/>
      <c r="S859" s="101"/>
      <c r="T859" s="241"/>
      <c r="U859" s="241"/>
      <c r="V859" s="241"/>
      <c r="W859" s="241"/>
      <c r="X859" s="241"/>
      <c r="Y859" s="241"/>
      <c r="Z859" s="241"/>
    </row>
    <row r="860" spans="3:26" ht="16.5">
      <c r="C860" s="101"/>
      <c r="D860" s="101"/>
      <c r="E860" s="101"/>
      <c r="F860" s="101"/>
      <c r="G860" s="101"/>
      <c r="H860" s="101"/>
      <c r="I860" s="101"/>
      <c r="J860" s="101"/>
      <c r="S860" s="101"/>
      <c r="T860" s="241"/>
      <c r="U860" s="241"/>
      <c r="V860" s="241"/>
      <c r="W860" s="241"/>
      <c r="X860" s="241"/>
      <c r="Y860" s="241"/>
      <c r="Z860" s="241"/>
    </row>
    <row r="861" spans="3:26" ht="16.5">
      <c r="C861" s="101"/>
      <c r="D861" s="101"/>
      <c r="E861" s="101"/>
      <c r="F861" s="101"/>
      <c r="G861" s="101"/>
      <c r="H861" s="101"/>
      <c r="I861" s="101"/>
      <c r="J861" s="101"/>
      <c r="S861" s="101"/>
      <c r="T861" s="241"/>
      <c r="U861" s="241"/>
      <c r="V861" s="241"/>
      <c r="W861" s="241"/>
      <c r="X861" s="241"/>
      <c r="Y861" s="241"/>
      <c r="Z861" s="241"/>
    </row>
    <row r="862" spans="3:26" ht="16.5">
      <c r="C862" s="101"/>
      <c r="D862" s="101"/>
      <c r="E862" s="101"/>
      <c r="F862" s="101"/>
      <c r="G862" s="101"/>
      <c r="H862" s="101"/>
      <c r="I862" s="101"/>
      <c r="J862" s="101"/>
      <c r="S862" s="101"/>
      <c r="T862" s="241"/>
      <c r="U862" s="241"/>
      <c r="V862" s="241"/>
      <c r="W862" s="241"/>
      <c r="X862" s="241"/>
      <c r="Y862" s="241"/>
      <c r="Z862" s="241"/>
    </row>
    <row r="863" spans="3:26" ht="16.5">
      <c r="C863" s="101"/>
      <c r="D863" s="101"/>
      <c r="E863" s="101"/>
      <c r="F863" s="101"/>
      <c r="G863" s="101"/>
      <c r="H863" s="101"/>
      <c r="I863" s="101"/>
      <c r="J863" s="101"/>
      <c r="S863" s="101"/>
      <c r="T863" s="241"/>
      <c r="U863" s="241"/>
      <c r="V863" s="241"/>
      <c r="W863" s="241"/>
      <c r="X863" s="241"/>
      <c r="Y863" s="241"/>
      <c r="Z863" s="241"/>
    </row>
    <row r="864" spans="3:26" ht="16.5">
      <c r="C864" s="101"/>
      <c r="D864" s="101"/>
      <c r="E864" s="101"/>
      <c r="F864" s="101"/>
      <c r="G864" s="101"/>
      <c r="H864" s="101"/>
      <c r="I864" s="101"/>
      <c r="J864" s="101"/>
      <c r="S864" s="101"/>
      <c r="T864" s="241"/>
      <c r="U864" s="241"/>
      <c r="V864" s="241"/>
      <c r="W864" s="241"/>
      <c r="X864" s="241"/>
      <c r="Y864" s="241"/>
      <c r="Z864" s="241"/>
    </row>
    <row r="865" spans="3:26" ht="16.5">
      <c r="C865" s="101"/>
      <c r="D865" s="101"/>
      <c r="E865" s="101"/>
      <c r="F865" s="101"/>
      <c r="G865" s="101"/>
      <c r="H865" s="101"/>
      <c r="I865" s="101"/>
      <c r="J865" s="101"/>
      <c r="S865" s="101"/>
      <c r="T865" s="241"/>
      <c r="U865" s="241"/>
      <c r="V865" s="241"/>
      <c r="W865" s="241"/>
      <c r="X865" s="241"/>
      <c r="Y865" s="241"/>
      <c r="Z865" s="241"/>
    </row>
    <row r="866" spans="3:26" ht="16.5">
      <c r="C866" s="101"/>
      <c r="D866" s="101"/>
      <c r="E866" s="101"/>
      <c r="F866" s="101"/>
      <c r="G866" s="101"/>
      <c r="H866" s="101"/>
      <c r="I866" s="101"/>
      <c r="J866" s="101"/>
      <c r="S866" s="101"/>
      <c r="T866" s="241"/>
      <c r="U866" s="241"/>
      <c r="V866" s="241"/>
      <c r="W866" s="241"/>
      <c r="X866" s="241"/>
      <c r="Y866" s="241"/>
      <c r="Z866" s="241"/>
    </row>
    <row r="867" spans="3:26" ht="16.5">
      <c r="C867" s="101"/>
      <c r="D867" s="101"/>
      <c r="E867" s="101"/>
      <c r="F867" s="101"/>
      <c r="G867" s="101"/>
      <c r="H867" s="101"/>
      <c r="I867" s="101"/>
      <c r="J867" s="101"/>
      <c r="S867" s="101"/>
      <c r="T867" s="241"/>
      <c r="U867" s="241"/>
      <c r="V867" s="241"/>
      <c r="W867" s="241"/>
      <c r="X867" s="241"/>
      <c r="Y867" s="241"/>
      <c r="Z867" s="241"/>
    </row>
    <row r="868" spans="3:26" ht="16.5">
      <c r="C868" s="101"/>
      <c r="D868" s="101"/>
      <c r="E868" s="101"/>
      <c r="F868" s="101"/>
      <c r="G868" s="101"/>
      <c r="H868" s="101"/>
      <c r="I868" s="101"/>
      <c r="J868" s="101"/>
      <c r="S868" s="101"/>
      <c r="T868" s="241"/>
      <c r="U868" s="241"/>
      <c r="V868" s="241"/>
      <c r="W868" s="241"/>
      <c r="X868" s="241"/>
      <c r="Y868" s="241"/>
      <c r="Z868" s="241"/>
    </row>
    <row r="869" spans="3:26" ht="16.5">
      <c r="C869" s="101"/>
      <c r="D869" s="101"/>
      <c r="E869" s="101"/>
      <c r="F869" s="101"/>
      <c r="G869" s="101"/>
      <c r="H869" s="101"/>
      <c r="I869" s="101"/>
      <c r="J869" s="101"/>
      <c r="S869" s="101"/>
      <c r="T869" s="241"/>
      <c r="U869" s="241"/>
      <c r="V869" s="241"/>
      <c r="W869" s="241"/>
      <c r="X869" s="241"/>
      <c r="Y869" s="241"/>
      <c r="Z869" s="241"/>
    </row>
    <row r="870" spans="3:26" ht="16.5">
      <c r="C870" s="101"/>
      <c r="D870" s="101"/>
      <c r="E870" s="101"/>
      <c r="F870" s="101"/>
      <c r="G870" s="101"/>
      <c r="H870" s="101"/>
      <c r="I870" s="101"/>
      <c r="J870" s="101"/>
      <c r="S870" s="101"/>
      <c r="T870" s="241"/>
      <c r="U870" s="241"/>
      <c r="V870" s="241"/>
      <c r="W870" s="241"/>
      <c r="X870" s="241"/>
      <c r="Y870" s="241"/>
      <c r="Z870" s="241"/>
    </row>
    <row r="871" spans="3:26" ht="16.5">
      <c r="C871" s="101"/>
      <c r="D871" s="101"/>
      <c r="E871" s="101"/>
      <c r="F871" s="101"/>
      <c r="G871" s="101"/>
      <c r="H871" s="101"/>
      <c r="I871" s="101"/>
      <c r="J871" s="101"/>
      <c r="S871" s="101"/>
      <c r="T871" s="241"/>
      <c r="U871" s="241"/>
      <c r="V871" s="241"/>
      <c r="W871" s="241"/>
      <c r="X871" s="241"/>
      <c r="Y871" s="241"/>
      <c r="Z871" s="241"/>
    </row>
    <row r="872" spans="3:26" ht="16.5">
      <c r="C872" s="101"/>
      <c r="D872" s="101"/>
      <c r="E872" s="101"/>
      <c r="F872" s="101"/>
      <c r="G872" s="101"/>
      <c r="H872" s="101"/>
      <c r="I872" s="101"/>
      <c r="J872" s="101"/>
      <c r="S872" s="101"/>
      <c r="T872" s="241"/>
      <c r="U872" s="241"/>
      <c r="V872" s="241"/>
      <c r="W872" s="241"/>
      <c r="X872" s="241"/>
      <c r="Y872" s="241"/>
      <c r="Z872" s="241"/>
    </row>
    <row r="873" spans="3:26" ht="16.5">
      <c r="C873" s="101"/>
      <c r="D873" s="101"/>
      <c r="E873" s="101"/>
      <c r="F873" s="101"/>
      <c r="G873" s="101"/>
      <c r="H873" s="101"/>
      <c r="I873" s="101"/>
      <c r="J873" s="101"/>
      <c r="S873" s="101"/>
      <c r="T873" s="241"/>
      <c r="U873" s="241"/>
      <c r="V873" s="241"/>
      <c r="W873" s="241"/>
      <c r="X873" s="241"/>
      <c r="Y873" s="241"/>
      <c r="Z873" s="241"/>
    </row>
    <row r="874" spans="3:26" ht="16.5">
      <c r="C874" s="101"/>
      <c r="D874" s="101"/>
      <c r="E874" s="101"/>
      <c r="F874" s="101"/>
      <c r="G874" s="101"/>
      <c r="H874" s="101"/>
      <c r="I874" s="101"/>
      <c r="J874" s="101"/>
      <c r="S874" s="101"/>
      <c r="T874" s="241"/>
      <c r="U874" s="241"/>
      <c r="V874" s="241"/>
      <c r="W874" s="241"/>
      <c r="X874" s="241"/>
      <c r="Y874" s="241"/>
      <c r="Z874" s="241"/>
    </row>
    <row r="875" spans="3:26" ht="16.5">
      <c r="C875" s="101"/>
      <c r="D875" s="101"/>
      <c r="E875" s="101"/>
      <c r="F875" s="101"/>
      <c r="G875" s="101"/>
      <c r="H875" s="101"/>
      <c r="I875" s="101"/>
      <c r="J875" s="101"/>
      <c r="S875" s="101"/>
      <c r="T875" s="241"/>
      <c r="U875" s="241"/>
      <c r="V875" s="241"/>
      <c r="W875" s="241"/>
      <c r="X875" s="241"/>
      <c r="Y875" s="241"/>
      <c r="Z875" s="241"/>
    </row>
    <row r="876" spans="3:26" ht="16.5">
      <c r="C876" s="101"/>
      <c r="D876" s="101"/>
      <c r="E876" s="101"/>
      <c r="F876" s="101"/>
      <c r="G876" s="101"/>
      <c r="H876" s="101"/>
      <c r="I876" s="101"/>
      <c r="J876" s="101"/>
      <c r="S876" s="101"/>
      <c r="T876" s="241"/>
      <c r="U876" s="241"/>
      <c r="V876" s="241"/>
      <c r="W876" s="241"/>
      <c r="X876" s="241"/>
      <c r="Y876" s="241"/>
      <c r="Z876" s="241"/>
    </row>
    <row r="877" spans="3:26" ht="16.5">
      <c r="C877" s="101"/>
      <c r="D877" s="101"/>
      <c r="E877" s="101"/>
      <c r="F877" s="101"/>
      <c r="G877" s="101"/>
      <c r="H877" s="101"/>
      <c r="I877" s="101"/>
      <c r="J877" s="101"/>
      <c r="S877" s="101"/>
      <c r="T877" s="241"/>
      <c r="U877" s="241"/>
      <c r="V877" s="241"/>
      <c r="W877" s="241"/>
      <c r="X877" s="241"/>
      <c r="Y877" s="241"/>
      <c r="Z877" s="241"/>
    </row>
    <row r="878" spans="3:26" ht="16.5">
      <c r="C878" s="101"/>
      <c r="D878" s="101"/>
      <c r="E878" s="101"/>
      <c r="F878" s="101"/>
      <c r="G878" s="101"/>
      <c r="H878" s="101"/>
      <c r="I878" s="101"/>
      <c r="J878" s="101"/>
      <c r="S878" s="101"/>
      <c r="T878" s="241"/>
      <c r="U878" s="241"/>
      <c r="V878" s="241"/>
      <c r="W878" s="241"/>
      <c r="X878" s="241"/>
      <c r="Y878" s="241"/>
      <c r="Z878" s="241"/>
    </row>
    <row r="879" spans="3:26" ht="16.5">
      <c r="C879" s="101"/>
      <c r="D879" s="101"/>
      <c r="E879" s="101"/>
      <c r="F879" s="101"/>
      <c r="G879" s="101"/>
      <c r="H879" s="101"/>
      <c r="I879" s="101"/>
      <c r="J879" s="101"/>
      <c r="S879" s="101"/>
      <c r="T879" s="241"/>
      <c r="U879" s="241"/>
      <c r="V879" s="241"/>
      <c r="W879" s="241"/>
      <c r="X879" s="241"/>
      <c r="Y879" s="241"/>
      <c r="Z879" s="241"/>
    </row>
    <row r="880" spans="3:26" ht="16.5">
      <c r="C880" s="101"/>
      <c r="D880" s="101"/>
      <c r="E880" s="101"/>
      <c r="F880" s="101"/>
      <c r="G880" s="101"/>
      <c r="H880" s="101"/>
      <c r="I880" s="101"/>
      <c r="J880" s="101"/>
      <c r="S880" s="101"/>
      <c r="T880" s="241"/>
      <c r="U880" s="241"/>
      <c r="V880" s="241"/>
      <c r="W880" s="241"/>
      <c r="X880" s="241"/>
      <c r="Y880" s="241"/>
      <c r="Z880" s="241"/>
    </row>
    <row r="881" spans="3:26" ht="16.5">
      <c r="C881" s="101"/>
      <c r="D881" s="101"/>
      <c r="E881" s="101"/>
      <c r="F881" s="101"/>
      <c r="G881" s="101"/>
      <c r="H881" s="101"/>
      <c r="I881" s="101"/>
      <c r="J881" s="101"/>
      <c r="S881" s="101"/>
      <c r="T881" s="241"/>
      <c r="U881" s="241"/>
      <c r="V881" s="241"/>
      <c r="W881" s="241"/>
      <c r="X881" s="241"/>
      <c r="Y881" s="241"/>
      <c r="Z881" s="241"/>
    </row>
    <row r="882" spans="3:26" ht="16.5">
      <c r="C882" s="101"/>
      <c r="D882" s="101"/>
      <c r="E882" s="101"/>
      <c r="F882" s="101"/>
      <c r="G882" s="101"/>
      <c r="H882" s="101"/>
      <c r="I882" s="101"/>
      <c r="J882" s="101"/>
      <c r="S882" s="101"/>
      <c r="T882" s="241"/>
      <c r="U882" s="241"/>
      <c r="V882" s="241"/>
      <c r="W882" s="241"/>
      <c r="X882" s="241"/>
      <c r="Y882" s="241"/>
      <c r="Z882" s="241"/>
    </row>
    <row r="883" spans="3:26" ht="16.5">
      <c r="C883" s="101"/>
      <c r="D883" s="101"/>
      <c r="E883" s="101"/>
      <c r="F883" s="101"/>
      <c r="G883" s="101"/>
      <c r="H883" s="101"/>
      <c r="I883" s="101"/>
      <c r="J883" s="101"/>
      <c r="S883" s="101"/>
      <c r="T883" s="241"/>
      <c r="U883" s="241"/>
      <c r="V883" s="241"/>
      <c r="W883" s="241"/>
      <c r="X883" s="241"/>
      <c r="Y883" s="241"/>
      <c r="Z883" s="241"/>
    </row>
    <row r="884" spans="3:26" ht="16.5">
      <c r="C884" s="101"/>
      <c r="D884" s="101"/>
      <c r="E884" s="101"/>
      <c r="F884" s="101"/>
      <c r="G884" s="101"/>
      <c r="H884" s="101"/>
      <c r="I884" s="101"/>
      <c r="J884" s="101"/>
      <c r="S884" s="101"/>
      <c r="T884" s="241"/>
      <c r="U884" s="241"/>
      <c r="V884" s="241"/>
      <c r="W884" s="241"/>
      <c r="X884" s="241"/>
      <c r="Y884" s="241"/>
      <c r="Z884" s="241"/>
    </row>
    <row r="885" spans="3:26" ht="16.5">
      <c r="C885" s="101"/>
      <c r="D885" s="101"/>
      <c r="E885" s="101"/>
      <c r="F885" s="101"/>
      <c r="G885" s="101"/>
      <c r="H885" s="101"/>
      <c r="I885" s="101"/>
      <c r="J885" s="101"/>
      <c r="S885" s="101"/>
      <c r="T885" s="241"/>
      <c r="U885" s="241"/>
      <c r="V885" s="241"/>
      <c r="W885" s="241"/>
      <c r="X885" s="241"/>
      <c r="Y885" s="241"/>
      <c r="Z885" s="241"/>
    </row>
    <row r="886" spans="3:26" ht="16.5">
      <c r="C886" s="101"/>
      <c r="D886" s="101"/>
      <c r="E886" s="101"/>
      <c r="F886" s="101"/>
      <c r="G886" s="101"/>
      <c r="H886" s="101"/>
      <c r="I886" s="101"/>
      <c r="J886" s="101"/>
      <c r="S886" s="101"/>
      <c r="T886" s="241"/>
      <c r="U886" s="241"/>
      <c r="V886" s="241"/>
      <c r="W886" s="241"/>
      <c r="X886" s="241"/>
      <c r="Y886" s="241"/>
      <c r="Z886" s="241"/>
    </row>
    <row r="887" spans="3:26" ht="16.5">
      <c r="C887" s="101"/>
      <c r="D887" s="101"/>
      <c r="E887" s="101"/>
      <c r="F887" s="101"/>
      <c r="G887" s="101"/>
      <c r="H887" s="101"/>
      <c r="I887" s="101"/>
      <c r="J887" s="101"/>
      <c r="S887" s="101"/>
      <c r="T887" s="241"/>
      <c r="U887" s="241"/>
      <c r="V887" s="241"/>
      <c r="W887" s="241"/>
      <c r="X887" s="241"/>
      <c r="Y887" s="241"/>
      <c r="Z887" s="241"/>
    </row>
    <row r="888" spans="3:26" ht="16.5">
      <c r="C888" s="101"/>
      <c r="D888" s="101"/>
      <c r="E888" s="101"/>
      <c r="F888" s="101"/>
      <c r="G888" s="101"/>
      <c r="H888" s="101"/>
      <c r="I888" s="101"/>
      <c r="J888" s="101"/>
      <c r="S888" s="101"/>
      <c r="T888" s="241"/>
      <c r="U888" s="241"/>
      <c r="V888" s="241"/>
      <c r="W888" s="241"/>
      <c r="X888" s="241"/>
      <c r="Y888" s="241"/>
      <c r="Z888" s="241"/>
    </row>
    <row r="889" spans="3:26" ht="16.5">
      <c r="C889" s="101"/>
      <c r="D889" s="101"/>
      <c r="E889" s="101"/>
      <c r="F889" s="101"/>
      <c r="G889" s="101"/>
      <c r="H889" s="101"/>
      <c r="I889" s="101"/>
      <c r="J889" s="101"/>
      <c r="S889" s="101"/>
      <c r="T889" s="241"/>
      <c r="U889" s="241"/>
      <c r="V889" s="241"/>
      <c r="W889" s="241"/>
      <c r="X889" s="241"/>
      <c r="Y889" s="241"/>
      <c r="Z889" s="241"/>
    </row>
    <row r="890" spans="3:26" ht="16.5">
      <c r="C890" s="101"/>
      <c r="D890" s="101"/>
      <c r="E890" s="101"/>
      <c r="F890" s="101"/>
      <c r="G890" s="101"/>
      <c r="H890" s="101"/>
      <c r="I890" s="101"/>
      <c r="J890" s="101"/>
      <c r="S890" s="101"/>
      <c r="T890" s="241"/>
      <c r="U890" s="241"/>
      <c r="V890" s="241"/>
      <c r="W890" s="241"/>
      <c r="X890" s="241"/>
      <c r="Y890" s="241"/>
      <c r="Z890" s="241"/>
    </row>
    <row r="891" spans="3:26" ht="16.5">
      <c r="C891" s="101"/>
      <c r="D891" s="101"/>
      <c r="E891" s="101"/>
      <c r="F891" s="101"/>
      <c r="G891" s="101"/>
      <c r="H891" s="101"/>
      <c r="I891" s="101"/>
      <c r="J891" s="101"/>
      <c r="S891" s="101"/>
      <c r="T891" s="241"/>
      <c r="U891" s="241"/>
      <c r="V891" s="241"/>
      <c r="W891" s="241"/>
      <c r="X891" s="241"/>
      <c r="Y891" s="241"/>
      <c r="Z891" s="241"/>
    </row>
    <row r="892" spans="3:26" ht="16.5">
      <c r="C892" s="101"/>
      <c r="D892" s="101"/>
      <c r="E892" s="101"/>
      <c r="F892" s="101"/>
      <c r="G892" s="101"/>
      <c r="H892" s="101"/>
      <c r="I892" s="101"/>
      <c r="J892" s="101"/>
      <c r="S892" s="101"/>
      <c r="T892" s="241"/>
      <c r="U892" s="241"/>
      <c r="V892" s="241"/>
      <c r="W892" s="241"/>
      <c r="X892" s="241"/>
      <c r="Y892" s="241"/>
      <c r="Z892" s="241"/>
    </row>
    <row r="893" spans="3:26" ht="16.5">
      <c r="C893" s="101"/>
      <c r="D893" s="101"/>
      <c r="E893" s="101"/>
      <c r="F893" s="101"/>
      <c r="G893" s="101"/>
      <c r="H893" s="101"/>
      <c r="I893" s="101"/>
      <c r="J893" s="101"/>
      <c r="S893" s="101"/>
      <c r="T893" s="241"/>
      <c r="U893" s="241"/>
      <c r="V893" s="241"/>
      <c r="W893" s="241"/>
      <c r="X893" s="241"/>
      <c r="Y893" s="241"/>
      <c r="Z893" s="241"/>
    </row>
    <row r="894" spans="3:26" ht="16.5">
      <c r="C894" s="101"/>
      <c r="D894" s="101"/>
      <c r="E894" s="101"/>
      <c r="F894" s="101"/>
      <c r="G894" s="101"/>
      <c r="H894" s="101"/>
      <c r="I894" s="101"/>
      <c r="J894" s="101"/>
      <c r="S894" s="101"/>
      <c r="T894" s="241"/>
      <c r="U894" s="241"/>
      <c r="V894" s="241"/>
      <c r="W894" s="241"/>
      <c r="X894" s="241"/>
      <c r="Y894" s="241"/>
      <c r="Z894" s="241"/>
    </row>
    <row r="895" spans="3:26" ht="16.5">
      <c r="C895" s="101"/>
      <c r="D895" s="101"/>
      <c r="E895" s="101"/>
      <c r="F895" s="101"/>
      <c r="G895" s="101"/>
      <c r="H895" s="101"/>
      <c r="I895" s="101"/>
      <c r="J895" s="101"/>
      <c r="S895" s="101"/>
      <c r="T895" s="241"/>
      <c r="U895" s="241"/>
      <c r="V895" s="241"/>
      <c r="W895" s="241"/>
      <c r="X895" s="241"/>
      <c r="Y895" s="241"/>
      <c r="Z895" s="241"/>
    </row>
    <row r="896" spans="3:26" ht="16.5">
      <c r="C896" s="101"/>
      <c r="D896" s="101"/>
      <c r="E896" s="101"/>
      <c r="F896" s="101"/>
      <c r="G896" s="101"/>
      <c r="H896" s="101"/>
      <c r="I896" s="101"/>
      <c r="J896" s="101"/>
      <c r="S896" s="101"/>
      <c r="T896" s="241"/>
      <c r="U896" s="241"/>
      <c r="V896" s="241"/>
      <c r="W896" s="241"/>
      <c r="X896" s="241"/>
      <c r="Y896" s="241"/>
      <c r="Z896" s="241"/>
    </row>
    <row r="897" spans="3:26" ht="16.5">
      <c r="C897" s="101"/>
      <c r="D897" s="101"/>
      <c r="E897" s="101"/>
      <c r="F897" s="101"/>
      <c r="G897" s="101"/>
      <c r="H897" s="101"/>
      <c r="I897" s="101"/>
      <c r="J897" s="101"/>
      <c r="S897" s="101"/>
      <c r="T897" s="241"/>
      <c r="U897" s="241"/>
      <c r="V897" s="241"/>
      <c r="W897" s="241"/>
      <c r="X897" s="241"/>
      <c r="Y897" s="241"/>
      <c r="Z897" s="241"/>
    </row>
    <row r="898" spans="3:26" ht="16.5">
      <c r="C898" s="101"/>
      <c r="D898" s="101"/>
      <c r="E898" s="101"/>
      <c r="F898" s="101"/>
      <c r="G898" s="101"/>
      <c r="H898" s="101"/>
      <c r="I898" s="101"/>
      <c r="J898" s="101"/>
      <c r="S898" s="101"/>
      <c r="T898" s="241"/>
      <c r="U898" s="241"/>
      <c r="V898" s="241"/>
      <c r="W898" s="241"/>
      <c r="X898" s="241"/>
      <c r="Y898" s="241"/>
      <c r="Z898" s="241"/>
    </row>
    <row r="899" spans="3:26" ht="16.5">
      <c r="C899" s="101"/>
      <c r="D899" s="101"/>
      <c r="E899" s="101"/>
      <c r="F899" s="101"/>
      <c r="G899" s="101"/>
      <c r="H899" s="101"/>
      <c r="I899" s="101"/>
      <c r="J899" s="101"/>
      <c r="S899" s="101"/>
      <c r="T899" s="241"/>
      <c r="U899" s="241"/>
      <c r="V899" s="241"/>
      <c r="W899" s="241"/>
      <c r="X899" s="241"/>
      <c r="Y899" s="241"/>
      <c r="Z899" s="241"/>
    </row>
    <row r="900" spans="3:26" ht="16.5">
      <c r="C900" s="101"/>
      <c r="D900" s="101"/>
      <c r="E900" s="101"/>
      <c r="F900" s="101"/>
      <c r="G900" s="101"/>
      <c r="H900" s="101"/>
      <c r="I900" s="101"/>
      <c r="J900" s="101"/>
      <c r="S900" s="101"/>
      <c r="T900" s="241"/>
      <c r="U900" s="241"/>
      <c r="V900" s="241"/>
      <c r="W900" s="241"/>
      <c r="X900" s="241"/>
      <c r="Y900" s="241"/>
      <c r="Z900" s="241"/>
    </row>
    <row r="901" spans="3:26" ht="16.5">
      <c r="C901" s="101"/>
      <c r="D901" s="101"/>
      <c r="E901" s="101"/>
      <c r="F901" s="101"/>
      <c r="G901" s="101"/>
      <c r="H901" s="101"/>
      <c r="I901" s="101"/>
      <c r="J901" s="101"/>
      <c r="S901" s="101"/>
      <c r="T901" s="241"/>
      <c r="U901" s="241"/>
      <c r="V901" s="241"/>
      <c r="W901" s="241"/>
      <c r="X901" s="241"/>
      <c r="Y901" s="241"/>
      <c r="Z901" s="241"/>
    </row>
    <row r="902" spans="3:26" ht="16.5">
      <c r="C902" s="101"/>
      <c r="D902" s="101"/>
      <c r="E902" s="101"/>
      <c r="F902" s="101"/>
      <c r="G902" s="101"/>
      <c r="H902" s="101"/>
      <c r="I902" s="101"/>
      <c r="J902" s="101"/>
      <c r="S902" s="101"/>
      <c r="T902" s="241"/>
      <c r="U902" s="241"/>
      <c r="V902" s="241"/>
      <c r="W902" s="241"/>
      <c r="X902" s="241"/>
      <c r="Y902" s="241"/>
      <c r="Z902" s="241"/>
    </row>
    <row r="903" spans="3:26" ht="16.5">
      <c r="C903" s="101"/>
      <c r="D903" s="101"/>
      <c r="E903" s="101"/>
      <c r="F903" s="101"/>
      <c r="G903" s="101"/>
      <c r="H903" s="101"/>
      <c r="I903" s="101"/>
      <c r="J903" s="101"/>
      <c r="S903" s="101"/>
      <c r="T903" s="241"/>
      <c r="U903" s="241"/>
      <c r="V903" s="241"/>
      <c r="W903" s="241"/>
      <c r="X903" s="241"/>
      <c r="Y903" s="241"/>
      <c r="Z903" s="241"/>
    </row>
    <row r="904" spans="3:26" ht="16.5">
      <c r="C904" s="101"/>
      <c r="D904" s="101"/>
      <c r="E904" s="101"/>
      <c r="F904" s="101"/>
      <c r="G904" s="101"/>
      <c r="H904" s="101"/>
      <c r="I904" s="101"/>
      <c r="J904" s="101"/>
      <c r="S904" s="101"/>
      <c r="T904" s="241"/>
      <c r="U904" s="241"/>
      <c r="V904" s="241"/>
      <c r="W904" s="241"/>
      <c r="X904" s="241"/>
      <c r="Y904" s="241"/>
      <c r="Z904" s="241"/>
    </row>
    <row r="905" spans="3:26" ht="16.5">
      <c r="C905" s="101"/>
      <c r="D905" s="101"/>
      <c r="E905" s="101"/>
      <c r="F905" s="101"/>
      <c r="G905" s="101"/>
      <c r="H905" s="101"/>
      <c r="I905" s="101"/>
      <c r="J905" s="101"/>
      <c r="S905" s="101"/>
      <c r="T905" s="241"/>
      <c r="U905" s="241"/>
      <c r="V905" s="241"/>
      <c r="W905" s="241"/>
      <c r="X905" s="241"/>
      <c r="Y905" s="241"/>
      <c r="Z905" s="241"/>
    </row>
    <row r="906" spans="3:26" ht="16.5">
      <c r="C906" s="101"/>
      <c r="D906" s="101"/>
      <c r="E906" s="101"/>
      <c r="F906" s="101"/>
      <c r="G906" s="101"/>
      <c r="H906" s="101"/>
      <c r="I906" s="101"/>
      <c r="J906" s="101"/>
      <c r="S906" s="101"/>
      <c r="T906" s="241"/>
      <c r="U906" s="241"/>
      <c r="V906" s="241"/>
      <c r="W906" s="241"/>
      <c r="X906" s="241"/>
      <c r="Y906" s="241"/>
      <c r="Z906" s="241"/>
    </row>
    <row r="907" spans="3:26" ht="16.5">
      <c r="C907" s="101"/>
      <c r="D907" s="101"/>
      <c r="E907" s="101"/>
      <c r="F907" s="101"/>
      <c r="G907" s="101"/>
      <c r="H907" s="101"/>
      <c r="I907" s="101"/>
      <c r="J907" s="101"/>
      <c r="S907" s="101"/>
      <c r="T907" s="241"/>
      <c r="U907" s="241"/>
      <c r="V907" s="241"/>
      <c r="W907" s="241"/>
      <c r="X907" s="241"/>
      <c r="Y907" s="241"/>
      <c r="Z907" s="241"/>
    </row>
    <row r="908" spans="3:26" ht="16.5">
      <c r="C908" s="101"/>
      <c r="D908" s="101"/>
      <c r="E908" s="101"/>
      <c r="F908" s="101"/>
      <c r="G908" s="101"/>
      <c r="H908" s="101"/>
      <c r="I908" s="101"/>
      <c r="J908" s="101"/>
      <c r="S908" s="101"/>
      <c r="T908" s="241"/>
      <c r="U908" s="241"/>
      <c r="V908" s="241"/>
      <c r="W908" s="241"/>
      <c r="X908" s="241"/>
      <c r="Y908" s="241"/>
      <c r="Z908" s="241"/>
    </row>
    <row r="909" spans="3:26" ht="16.5">
      <c r="C909" s="101"/>
      <c r="D909" s="101"/>
      <c r="E909" s="101"/>
      <c r="F909" s="101"/>
      <c r="G909" s="101"/>
      <c r="H909" s="101"/>
      <c r="I909" s="101"/>
      <c r="J909" s="101"/>
      <c r="S909" s="101"/>
      <c r="T909" s="241"/>
      <c r="U909" s="241"/>
      <c r="V909" s="241"/>
      <c r="W909" s="241"/>
      <c r="X909" s="241"/>
      <c r="Y909" s="241"/>
      <c r="Z909" s="241"/>
    </row>
    <row r="910" spans="3:26" ht="16.5">
      <c r="C910" s="101"/>
      <c r="D910" s="101"/>
      <c r="E910" s="101"/>
      <c r="F910" s="101"/>
      <c r="G910" s="101"/>
      <c r="H910" s="101"/>
      <c r="I910" s="101"/>
      <c r="J910" s="101"/>
      <c r="S910" s="101"/>
      <c r="T910" s="241"/>
      <c r="U910" s="241"/>
      <c r="V910" s="241"/>
      <c r="W910" s="241"/>
      <c r="X910" s="241"/>
      <c r="Y910" s="241"/>
      <c r="Z910" s="241"/>
    </row>
    <row r="911" spans="3:26" ht="16.5">
      <c r="C911" s="101"/>
      <c r="D911" s="101"/>
      <c r="E911" s="101"/>
      <c r="F911" s="101"/>
      <c r="G911" s="101"/>
      <c r="H911" s="101"/>
      <c r="I911" s="101"/>
      <c r="J911" s="101"/>
      <c r="S911" s="101"/>
      <c r="T911" s="241"/>
      <c r="U911" s="241"/>
      <c r="V911" s="241"/>
      <c r="W911" s="241"/>
      <c r="X911" s="241"/>
      <c r="Y911" s="241"/>
      <c r="Z911" s="241"/>
    </row>
    <row r="912" spans="3:26" ht="16.5">
      <c r="C912" s="101"/>
      <c r="D912" s="101"/>
      <c r="E912" s="101"/>
      <c r="F912" s="101"/>
      <c r="G912" s="101"/>
      <c r="H912" s="101"/>
      <c r="I912" s="101"/>
      <c r="J912" s="101"/>
      <c r="S912" s="101"/>
      <c r="T912" s="241"/>
      <c r="U912" s="241"/>
      <c r="V912" s="241"/>
      <c r="W912" s="241"/>
      <c r="X912" s="241"/>
      <c r="Y912" s="241"/>
      <c r="Z912" s="241"/>
    </row>
    <row r="913" spans="3:26" ht="16.5">
      <c r="C913" s="101"/>
      <c r="D913" s="101"/>
      <c r="E913" s="101"/>
      <c r="F913" s="101"/>
      <c r="G913" s="101"/>
      <c r="H913" s="101"/>
      <c r="I913" s="101"/>
      <c r="J913" s="101"/>
      <c r="S913" s="101"/>
      <c r="T913" s="241"/>
      <c r="U913" s="241"/>
      <c r="V913" s="241"/>
      <c r="W913" s="241"/>
      <c r="X913" s="241"/>
      <c r="Y913" s="241"/>
      <c r="Z913" s="241"/>
    </row>
    <row r="914" spans="3:26" ht="16.5">
      <c r="C914" s="101"/>
      <c r="D914" s="101"/>
      <c r="E914" s="101"/>
      <c r="F914" s="101"/>
      <c r="G914" s="101"/>
      <c r="H914" s="101"/>
      <c r="I914" s="101"/>
      <c r="J914" s="101"/>
      <c r="S914" s="101"/>
      <c r="T914" s="241"/>
      <c r="U914" s="241"/>
      <c r="V914" s="241"/>
      <c r="W914" s="241"/>
      <c r="X914" s="241"/>
      <c r="Y914" s="241"/>
      <c r="Z914" s="241"/>
    </row>
    <row r="915" spans="3:26" ht="16.5">
      <c r="C915" s="101"/>
      <c r="D915" s="101"/>
      <c r="E915" s="101"/>
      <c r="F915" s="101"/>
      <c r="G915" s="101"/>
      <c r="H915" s="101"/>
      <c r="I915" s="101"/>
      <c r="J915" s="101"/>
      <c r="S915" s="101"/>
      <c r="T915" s="241"/>
      <c r="U915" s="241"/>
      <c r="V915" s="241"/>
      <c r="W915" s="241"/>
      <c r="X915" s="241"/>
      <c r="Y915" s="241"/>
      <c r="Z915" s="241"/>
    </row>
    <row r="916" spans="3:26" ht="16.5">
      <c r="C916" s="101"/>
      <c r="D916" s="101"/>
      <c r="E916" s="101"/>
      <c r="F916" s="101"/>
      <c r="G916" s="101"/>
      <c r="H916" s="101"/>
      <c r="I916" s="101"/>
      <c r="J916" s="101"/>
      <c r="S916" s="101"/>
      <c r="T916" s="241"/>
      <c r="U916" s="241"/>
      <c r="V916" s="241"/>
      <c r="W916" s="241"/>
      <c r="X916" s="241"/>
      <c r="Y916" s="241"/>
      <c r="Z916" s="241"/>
    </row>
    <row r="917" spans="3:26" ht="16.5">
      <c r="C917" s="101"/>
      <c r="D917" s="101"/>
      <c r="E917" s="101"/>
      <c r="F917" s="101"/>
      <c r="G917" s="101"/>
      <c r="H917" s="101"/>
      <c r="I917" s="101"/>
      <c r="J917" s="101"/>
      <c r="S917" s="101"/>
      <c r="T917" s="241"/>
      <c r="U917" s="241"/>
      <c r="V917" s="241"/>
      <c r="W917" s="241"/>
      <c r="X917" s="241"/>
      <c r="Y917" s="241"/>
      <c r="Z917" s="241"/>
    </row>
    <row r="918" spans="3:26" ht="16.5">
      <c r="C918" s="101"/>
      <c r="D918" s="101"/>
      <c r="E918" s="101"/>
      <c r="F918" s="101"/>
      <c r="G918" s="101"/>
      <c r="H918" s="101"/>
      <c r="I918" s="101"/>
      <c r="J918" s="101"/>
      <c r="S918" s="101"/>
      <c r="T918" s="241"/>
      <c r="U918" s="241"/>
      <c r="V918" s="241"/>
      <c r="W918" s="241"/>
      <c r="X918" s="241"/>
      <c r="Y918" s="241"/>
      <c r="Z918" s="241"/>
    </row>
    <row r="919" spans="3:26" ht="16.5">
      <c r="C919" s="101"/>
      <c r="D919" s="101"/>
      <c r="E919" s="101"/>
      <c r="F919" s="101"/>
      <c r="G919" s="101"/>
      <c r="H919" s="101"/>
      <c r="I919" s="101"/>
      <c r="J919" s="101"/>
      <c r="S919" s="101"/>
      <c r="T919" s="241"/>
      <c r="U919" s="241"/>
      <c r="V919" s="241"/>
      <c r="W919" s="241"/>
      <c r="X919" s="241"/>
      <c r="Y919" s="241"/>
      <c r="Z919" s="241"/>
    </row>
    <row r="920" spans="3:26" ht="16.5">
      <c r="C920" s="101"/>
      <c r="D920" s="101"/>
      <c r="E920" s="101"/>
      <c r="F920" s="101"/>
      <c r="G920" s="101"/>
      <c r="H920" s="101"/>
      <c r="I920" s="101"/>
      <c r="J920" s="101"/>
      <c r="S920" s="101"/>
      <c r="T920" s="241"/>
      <c r="U920" s="241"/>
      <c r="V920" s="241"/>
      <c r="W920" s="241"/>
      <c r="X920" s="241"/>
      <c r="Y920" s="241"/>
      <c r="Z920" s="241"/>
    </row>
    <row r="921" spans="3:26" ht="16.5">
      <c r="C921" s="101"/>
      <c r="D921" s="101"/>
      <c r="E921" s="101"/>
      <c r="F921" s="101"/>
      <c r="G921" s="101"/>
      <c r="H921" s="101"/>
      <c r="I921" s="101"/>
      <c r="J921" s="101"/>
      <c r="S921" s="101"/>
      <c r="T921" s="241"/>
      <c r="U921" s="241"/>
      <c r="V921" s="241"/>
      <c r="W921" s="241"/>
      <c r="X921" s="241"/>
      <c r="Y921" s="241"/>
      <c r="Z921" s="241"/>
    </row>
    <row r="922" spans="3:26" ht="16.5">
      <c r="C922" s="101"/>
      <c r="D922" s="101"/>
      <c r="E922" s="101"/>
      <c r="F922" s="101"/>
      <c r="G922" s="101"/>
      <c r="H922" s="101"/>
      <c r="I922" s="101"/>
      <c r="J922" s="101"/>
      <c r="S922" s="101"/>
      <c r="T922" s="241"/>
      <c r="U922" s="241"/>
      <c r="V922" s="241"/>
      <c r="W922" s="241"/>
      <c r="X922" s="241"/>
      <c r="Y922" s="241"/>
      <c r="Z922" s="241"/>
    </row>
    <row r="923" spans="3:26" ht="16.5">
      <c r="C923" s="101"/>
      <c r="D923" s="101"/>
      <c r="E923" s="101"/>
      <c r="F923" s="101"/>
      <c r="G923" s="101"/>
      <c r="H923" s="101"/>
      <c r="I923" s="101"/>
      <c r="J923" s="101"/>
      <c r="S923" s="101"/>
      <c r="T923" s="241"/>
      <c r="U923" s="241"/>
      <c r="V923" s="241"/>
      <c r="W923" s="241"/>
      <c r="X923" s="241"/>
      <c r="Y923" s="241"/>
      <c r="Z923" s="241"/>
    </row>
    <row r="924" spans="3:26" ht="16.5">
      <c r="C924" s="101"/>
      <c r="D924" s="101"/>
      <c r="E924" s="101"/>
      <c r="F924" s="101"/>
      <c r="G924" s="101"/>
      <c r="H924" s="101"/>
      <c r="I924" s="101"/>
      <c r="J924" s="101"/>
      <c r="S924" s="101"/>
      <c r="T924" s="241"/>
      <c r="U924" s="241"/>
      <c r="V924" s="241"/>
      <c r="W924" s="241"/>
      <c r="X924" s="241"/>
      <c r="Y924" s="241"/>
      <c r="Z924" s="241"/>
    </row>
    <row r="925" spans="3:26" ht="16.5">
      <c r="C925" s="101"/>
      <c r="D925" s="101"/>
      <c r="E925" s="101"/>
      <c r="F925" s="101"/>
      <c r="G925" s="101"/>
      <c r="H925" s="101"/>
      <c r="I925" s="101"/>
      <c r="J925" s="101"/>
      <c r="S925" s="101"/>
      <c r="T925" s="241"/>
      <c r="U925" s="241"/>
      <c r="V925" s="241"/>
      <c r="W925" s="241"/>
      <c r="X925" s="241"/>
      <c r="Y925" s="241"/>
      <c r="Z925" s="241"/>
    </row>
    <row r="926" spans="3:26" ht="16.5">
      <c r="C926" s="101"/>
      <c r="D926" s="101"/>
      <c r="E926" s="101"/>
      <c r="F926" s="101"/>
      <c r="G926" s="101"/>
      <c r="H926" s="101"/>
      <c r="I926" s="101"/>
      <c r="J926" s="101"/>
      <c r="S926" s="101"/>
      <c r="T926" s="241"/>
      <c r="U926" s="241"/>
      <c r="V926" s="241"/>
      <c r="W926" s="241"/>
      <c r="X926" s="241"/>
      <c r="Y926" s="241"/>
      <c r="Z926" s="241"/>
    </row>
    <row r="927" spans="3:26" ht="16.5">
      <c r="C927" s="101"/>
      <c r="D927" s="101"/>
      <c r="E927" s="101"/>
      <c r="F927" s="101"/>
      <c r="G927" s="101"/>
      <c r="H927" s="101"/>
      <c r="I927" s="101"/>
      <c r="J927" s="101"/>
      <c r="S927" s="101"/>
      <c r="T927" s="241"/>
      <c r="U927" s="241"/>
      <c r="V927" s="241"/>
      <c r="W927" s="241"/>
      <c r="X927" s="241"/>
      <c r="Y927" s="241"/>
      <c r="Z927" s="241"/>
    </row>
    <row r="928" spans="3:26" ht="16.5">
      <c r="C928" s="101"/>
      <c r="D928" s="101"/>
      <c r="E928" s="101"/>
      <c r="F928" s="101"/>
      <c r="G928" s="101"/>
      <c r="H928" s="101"/>
      <c r="I928" s="101"/>
      <c r="J928" s="101"/>
      <c r="S928" s="101"/>
      <c r="T928" s="241"/>
      <c r="U928" s="241"/>
      <c r="V928" s="241"/>
      <c r="W928" s="241"/>
      <c r="X928" s="241"/>
      <c r="Y928" s="241"/>
      <c r="Z928" s="241"/>
    </row>
    <row r="929" spans="3:26" ht="16.5">
      <c r="C929" s="101"/>
      <c r="D929" s="101"/>
      <c r="E929" s="101"/>
      <c r="F929" s="101"/>
      <c r="G929" s="101"/>
      <c r="H929" s="101"/>
      <c r="I929" s="101"/>
      <c r="J929" s="101"/>
      <c r="S929" s="101"/>
      <c r="T929" s="241"/>
      <c r="U929" s="241"/>
      <c r="V929" s="241"/>
      <c r="W929" s="241"/>
      <c r="X929" s="241"/>
      <c r="Y929" s="241"/>
      <c r="Z929" s="241"/>
    </row>
    <row r="930" spans="3:26" ht="16.5">
      <c r="C930" s="101"/>
      <c r="D930" s="101"/>
      <c r="E930" s="101"/>
      <c r="F930" s="101"/>
      <c r="G930" s="101"/>
      <c r="H930" s="101"/>
      <c r="I930" s="101"/>
      <c r="J930" s="101"/>
      <c r="S930" s="101"/>
      <c r="T930" s="241"/>
      <c r="U930" s="241"/>
      <c r="V930" s="241"/>
      <c r="W930" s="241"/>
      <c r="X930" s="241"/>
      <c r="Y930" s="241"/>
      <c r="Z930" s="241"/>
    </row>
    <row r="931" spans="3:26" ht="16.5">
      <c r="C931" s="101"/>
      <c r="D931" s="101"/>
      <c r="E931" s="101"/>
      <c r="F931" s="101"/>
      <c r="G931" s="101"/>
      <c r="H931" s="101"/>
      <c r="I931" s="101"/>
      <c r="J931" s="101"/>
      <c r="S931" s="101"/>
      <c r="T931" s="241"/>
      <c r="U931" s="241"/>
      <c r="V931" s="241"/>
      <c r="W931" s="241"/>
      <c r="X931" s="241"/>
      <c r="Y931" s="241"/>
      <c r="Z931" s="241"/>
    </row>
    <row r="932" spans="3:26" ht="16.5">
      <c r="C932" s="101"/>
      <c r="D932" s="101"/>
      <c r="E932" s="101"/>
      <c r="F932" s="101"/>
      <c r="G932" s="101"/>
      <c r="H932" s="101"/>
      <c r="I932" s="101"/>
      <c r="J932" s="101"/>
      <c r="S932" s="101"/>
      <c r="T932" s="241"/>
      <c r="U932" s="241"/>
      <c r="V932" s="241"/>
      <c r="W932" s="241"/>
      <c r="X932" s="241"/>
      <c r="Y932" s="241"/>
      <c r="Z932" s="241"/>
    </row>
    <row r="933" spans="3:26" ht="16.5">
      <c r="C933" s="101"/>
      <c r="D933" s="101"/>
      <c r="E933" s="101"/>
      <c r="F933" s="101"/>
      <c r="G933" s="101"/>
      <c r="H933" s="101"/>
      <c r="I933" s="101"/>
      <c r="J933" s="101"/>
      <c r="S933" s="101"/>
      <c r="T933" s="241"/>
      <c r="U933" s="241"/>
      <c r="V933" s="241"/>
      <c r="W933" s="241"/>
      <c r="X933" s="241"/>
      <c r="Y933" s="241"/>
      <c r="Z933" s="241"/>
    </row>
    <row r="934" spans="3:26" ht="16.5">
      <c r="C934" s="101"/>
      <c r="D934" s="101"/>
      <c r="E934" s="101"/>
      <c r="F934" s="101"/>
      <c r="G934" s="101"/>
      <c r="H934" s="101"/>
      <c r="I934" s="101"/>
      <c r="J934" s="101"/>
      <c r="S934" s="101"/>
      <c r="T934" s="241"/>
      <c r="U934" s="241"/>
      <c r="V934" s="241"/>
      <c r="W934" s="241"/>
      <c r="X934" s="241"/>
      <c r="Y934" s="241"/>
      <c r="Z934" s="241"/>
    </row>
    <row r="935" spans="3:26" ht="16.5">
      <c r="C935" s="101"/>
      <c r="D935" s="101"/>
      <c r="E935" s="101"/>
      <c r="F935" s="101"/>
      <c r="G935" s="101"/>
      <c r="H935" s="101"/>
      <c r="I935" s="101"/>
      <c r="J935" s="101"/>
      <c r="S935" s="101"/>
      <c r="T935" s="241"/>
      <c r="U935" s="241"/>
      <c r="V935" s="241"/>
      <c r="W935" s="241"/>
      <c r="X935" s="241"/>
      <c r="Y935" s="241"/>
      <c r="Z935" s="241"/>
    </row>
    <row r="936" spans="3:26" ht="16.5">
      <c r="C936" s="101"/>
      <c r="D936" s="101"/>
      <c r="E936" s="101"/>
      <c r="F936" s="101"/>
      <c r="G936" s="101"/>
      <c r="H936" s="101"/>
      <c r="I936" s="101"/>
      <c r="J936" s="101"/>
      <c r="S936" s="101"/>
      <c r="T936" s="241"/>
      <c r="U936" s="241"/>
      <c r="V936" s="241"/>
      <c r="W936" s="241"/>
      <c r="X936" s="241"/>
      <c r="Y936" s="241"/>
      <c r="Z936" s="241"/>
    </row>
    <row r="937" spans="3:26" ht="16.5">
      <c r="C937" s="101"/>
      <c r="D937" s="101"/>
      <c r="E937" s="101"/>
      <c r="F937" s="101"/>
      <c r="G937" s="101"/>
      <c r="H937" s="101"/>
      <c r="I937" s="101"/>
      <c r="J937" s="101"/>
      <c r="S937" s="101"/>
      <c r="T937" s="241"/>
      <c r="U937" s="241"/>
      <c r="V937" s="241"/>
      <c r="W937" s="241"/>
      <c r="X937" s="241"/>
      <c r="Y937" s="241"/>
      <c r="Z937" s="241"/>
    </row>
    <row r="938" spans="3:26" ht="16.5">
      <c r="C938" s="101"/>
      <c r="D938" s="101"/>
      <c r="E938" s="101"/>
      <c r="F938" s="101"/>
      <c r="G938" s="101"/>
      <c r="H938" s="101"/>
      <c r="I938" s="101"/>
      <c r="J938" s="101"/>
      <c r="S938" s="101"/>
      <c r="T938" s="241"/>
      <c r="U938" s="241"/>
      <c r="V938" s="241"/>
      <c r="W938" s="241"/>
      <c r="X938" s="241"/>
      <c r="Y938" s="241"/>
      <c r="Z938" s="241"/>
    </row>
    <row r="939" spans="3:26" ht="16.5">
      <c r="C939" s="101"/>
      <c r="D939" s="101"/>
      <c r="E939" s="101"/>
      <c r="F939" s="101"/>
      <c r="G939" s="101"/>
      <c r="H939" s="101"/>
      <c r="I939" s="101"/>
      <c r="J939" s="101"/>
      <c r="S939" s="101"/>
      <c r="T939" s="241"/>
      <c r="U939" s="241"/>
      <c r="V939" s="241"/>
      <c r="W939" s="241"/>
      <c r="X939" s="241"/>
      <c r="Y939" s="241"/>
      <c r="Z939" s="241"/>
    </row>
    <row r="940" spans="3:26" ht="16.5">
      <c r="C940" s="101"/>
      <c r="D940" s="101"/>
      <c r="E940" s="101"/>
      <c r="F940" s="101"/>
      <c r="G940" s="101"/>
      <c r="H940" s="101"/>
      <c r="I940" s="101"/>
      <c r="J940" s="101"/>
      <c r="S940" s="101"/>
      <c r="T940" s="241"/>
      <c r="U940" s="241"/>
      <c r="V940" s="241"/>
      <c r="W940" s="241"/>
      <c r="X940" s="241"/>
      <c r="Y940" s="241"/>
      <c r="Z940" s="241"/>
    </row>
    <row r="941" spans="3:26" ht="16.5">
      <c r="C941" s="101"/>
      <c r="D941" s="101"/>
      <c r="E941" s="101"/>
      <c r="F941" s="101"/>
      <c r="G941" s="101"/>
      <c r="H941" s="101"/>
      <c r="I941" s="101"/>
      <c r="J941" s="101"/>
      <c r="S941" s="101"/>
      <c r="T941" s="241"/>
      <c r="U941" s="241"/>
      <c r="V941" s="241"/>
      <c r="W941" s="241"/>
      <c r="X941" s="241"/>
      <c r="Y941" s="241"/>
      <c r="Z941" s="241"/>
    </row>
    <row r="942" spans="3:26" ht="16.5">
      <c r="C942" s="101"/>
      <c r="D942" s="101"/>
      <c r="E942" s="101"/>
      <c r="F942" s="101"/>
      <c r="G942" s="101"/>
      <c r="H942" s="101"/>
      <c r="I942" s="101"/>
      <c r="J942" s="101"/>
      <c r="S942" s="101"/>
      <c r="T942" s="241"/>
      <c r="U942" s="241"/>
      <c r="V942" s="241"/>
      <c r="W942" s="241"/>
      <c r="X942" s="241"/>
      <c r="Y942" s="241"/>
      <c r="Z942" s="241"/>
    </row>
    <row r="943" spans="3:26" ht="16.5">
      <c r="C943" s="101"/>
      <c r="D943" s="101"/>
      <c r="E943" s="101"/>
      <c r="F943" s="101"/>
      <c r="G943" s="101"/>
      <c r="H943" s="101"/>
      <c r="I943" s="101"/>
      <c r="J943" s="101"/>
      <c r="S943" s="101"/>
      <c r="T943" s="241"/>
      <c r="U943" s="241"/>
      <c r="V943" s="241"/>
      <c r="W943" s="241"/>
      <c r="X943" s="241"/>
      <c r="Y943" s="241"/>
      <c r="Z943" s="241"/>
    </row>
    <row r="944" spans="3:26" ht="16.5">
      <c r="C944" s="101"/>
      <c r="D944" s="101"/>
      <c r="E944" s="101"/>
      <c r="F944" s="101"/>
      <c r="G944" s="101"/>
      <c r="H944" s="101"/>
      <c r="I944" s="101"/>
      <c r="J944" s="101"/>
      <c r="S944" s="101"/>
      <c r="T944" s="241"/>
      <c r="U944" s="241"/>
      <c r="V944" s="241"/>
      <c r="W944" s="241"/>
      <c r="X944" s="241"/>
      <c r="Y944" s="241"/>
      <c r="Z944" s="241"/>
    </row>
    <row r="945" spans="3:26" ht="16.5">
      <c r="C945" s="101"/>
      <c r="D945" s="101"/>
      <c r="E945" s="101"/>
      <c r="F945" s="101"/>
      <c r="G945" s="101"/>
      <c r="H945" s="101"/>
      <c r="I945" s="101"/>
      <c r="J945" s="101"/>
      <c r="S945" s="101"/>
      <c r="T945" s="241"/>
      <c r="U945" s="241"/>
      <c r="V945" s="241"/>
      <c r="W945" s="241"/>
      <c r="X945" s="241"/>
      <c r="Y945" s="241"/>
      <c r="Z945" s="241"/>
    </row>
    <row r="946" spans="3:26" ht="16.5">
      <c r="C946" s="101"/>
      <c r="D946" s="101"/>
      <c r="E946" s="101"/>
      <c r="F946" s="101"/>
      <c r="G946" s="101"/>
      <c r="H946" s="101"/>
      <c r="I946" s="101"/>
      <c r="J946" s="101"/>
      <c r="S946" s="101"/>
      <c r="T946" s="241"/>
      <c r="U946" s="241"/>
      <c r="V946" s="241"/>
      <c r="W946" s="241"/>
      <c r="X946" s="241"/>
      <c r="Y946" s="241"/>
      <c r="Z946" s="241"/>
    </row>
    <row r="947" spans="3:26" ht="16.5">
      <c r="C947" s="101"/>
      <c r="D947" s="101"/>
      <c r="E947" s="101"/>
      <c r="F947" s="101"/>
      <c r="G947" s="101"/>
      <c r="H947" s="101"/>
      <c r="I947" s="101"/>
      <c r="J947" s="101"/>
      <c r="S947" s="101"/>
      <c r="T947" s="241"/>
      <c r="U947" s="241"/>
      <c r="V947" s="241"/>
      <c r="W947" s="241"/>
      <c r="X947" s="241"/>
      <c r="Y947" s="241"/>
      <c r="Z947" s="241"/>
    </row>
    <row r="948" spans="3:26" ht="16.5">
      <c r="C948" s="101"/>
      <c r="D948" s="101"/>
      <c r="E948" s="101"/>
      <c r="F948" s="101"/>
      <c r="G948" s="101"/>
      <c r="H948" s="101"/>
      <c r="I948" s="101"/>
      <c r="J948" s="101"/>
      <c r="S948" s="101"/>
      <c r="T948" s="241"/>
      <c r="U948" s="241"/>
      <c r="V948" s="241"/>
      <c r="W948" s="241"/>
      <c r="X948" s="241"/>
      <c r="Y948" s="241"/>
      <c r="Z948" s="241"/>
    </row>
    <row r="949" spans="3:26" ht="16.5">
      <c r="C949" s="101"/>
      <c r="D949" s="101"/>
      <c r="E949" s="101"/>
      <c r="F949" s="101"/>
      <c r="G949" s="101"/>
      <c r="H949" s="101"/>
      <c r="I949" s="101"/>
      <c r="J949" s="101"/>
      <c r="S949" s="101"/>
      <c r="T949" s="241"/>
      <c r="U949" s="241"/>
      <c r="V949" s="241"/>
      <c r="W949" s="241"/>
      <c r="X949" s="241"/>
      <c r="Y949" s="241"/>
      <c r="Z949" s="241"/>
    </row>
    <row r="950" spans="3:26" ht="16.5">
      <c r="C950" s="101"/>
      <c r="D950" s="101"/>
      <c r="E950" s="101"/>
      <c r="F950" s="101"/>
      <c r="G950" s="101"/>
      <c r="H950" s="101"/>
      <c r="I950" s="101"/>
      <c r="J950" s="101"/>
      <c r="S950" s="101"/>
      <c r="T950" s="241"/>
      <c r="U950" s="241"/>
      <c r="V950" s="241"/>
      <c r="W950" s="241"/>
      <c r="X950" s="241"/>
      <c r="Y950" s="241"/>
      <c r="Z950" s="241"/>
    </row>
    <row r="951" spans="3:26" ht="16.5">
      <c r="C951" s="101"/>
      <c r="D951" s="101"/>
      <c r="E951" s="101"/>
      <c r="F951" s="101"/>
      <c r="G951" s="101"/>
      <c r="H951" s="101"/>
      <c r="I951" s="101"/>
      <c r="J951" s="101"/>
      <c r="S951" s="101"/>
      <c r="T951" s="241"/>
      <c r="U951" s="241"/>
      <c r="V951" s="241"/>
      <c r="W951" s="241"/>
      <c r="X951" s="241"/>
      <c r="Y951" s="241"/>
      <c r="Z951" s="241"/>
    </row>
    <row r="952" spans="3:26" ht="16.5">
      <c r="C952" s="101"/>
      <c r="D952" s="101"/>
      <c r="E952" s="101"/>
      <c r="F952" s="101"/>
      <c r="G952" s="101"/>
      <c r="H952" s="101"/>
      <c r="I952" s="101"/>
      <c r="J952" s="101"/>
      <c r="S952" s="101"/>
      <c r="T952" s="241"/>
      <c r="U952" s="241"/>
      <c r="V952" s="241"/>
      <c r="W952" s="241"/>
      <c r="X952" s="241"/>
      <c r="Y952" s="241"/>
      <c r="Z952" s="241"/>
    </row>
    <row r="953" spans="3:26" ht="16.5">
      <c r="C953" s="101"/>
      <c r="D953" s="101"/>
      <c r="E953" s="101"/>
      <c r="F953" s="101"/>
      <c r="G953" s="101"/>
      <c r="H953" s="101"/>
      <c r="I953" s="101"/>
      <c r="J953" s="101"/>
      <c r="S953" s="101"/>
      <c r="T953" s="241"/>
      <c r="U953" s="241"/>
      <c r="V953" s="241"/>
      <c r="W953" s="241"/>
      <c r="X953" s="241"/>
      <c r="Y953" s="241"/>
      <c r="Z953" s="241"/>
    </row>
    <row r="954" spans="3:26" ht="16.5">
      <c r="C954" s="101"/>
      <c r="D954" s="101"/>
      <c r="E954" s="101"/>
      <c r="F954" s="101"/>
      <c r="G954" s="101"/>
      <c r="H954" s="101"/>
      <c r="I954" s="101"/>
      <c r="J954" s="101"/>
      <c r="S954" s="101"/>
      <c r="T954" s="241"/>
      <c r="U954" s="241"/>
      <c r="V954" s="241"/>
      <c r="W954" s="241"/>
      <c r="X954" s="241"/>
      <c r="Y954" s="241"/>
      <c r="Z954" s="241"/>
    </row>
    <row r="955" spans="3:26" ht="16.5">
      <c r="C955" s="101"/>
      <c r="D955" s="101"/>
      <c r="E955" s="101"/>
      <c r="F955" s="101"/>
      <c r="G955" s="101"/>
      <c r="H955" s="101"/>
      <c r="I955" s="101"/>
      <c r="J955" s="101"/>
      <c r="S955" s="101"/>
      <c r="T955" s="241"/>
      <c r="U955" s="241"/>
      <c r="V955" s="241"/>
      <c r="W955" s="241"/>
      <c r="X955" s="241"/>
      <c r="Y955" s="241"/>
      <c r="Z955" s="241"/>
    </row>
    <row r="956" spans="3:26" ht="16.5">
      <c r="C956" s="101"/>
      <c r="D956" s="101"/>
      <c r="E956" s="101"/>
      <c r="F956" s="101"/>
      <c r="G956" s="101"/>
      <c r="H956" s="101"/>
      <c r="I956" s="101"/>
      <c r="J956" s="101"/>
      <c r="S956" s="101"/>
      <c r="T956" s="241"/>
      <c r="U956" s="241"/>
      <c r="V956" s="241"/>
      <c r="W956" s="241"/>
      <c r="X956" s="241"/>
      <c r="Y956" s="241"/>
      <c r="Z956" s="241"/>
    </row>
    <row r="957" spans="3:26" ht="16.5">
      <c r="C957" s="101"/>
      <c r="D957" s="101"/>
      <c r="E957" s="101"/>
      <c r="F957" s="101"/>
      <c r="G957" s="101"/>
      <c r="H957" s="101"/>
      <c r="I957" s="101"/>
      <c r="J957" s="101"/>
      <c r="S957" s="101"/>
      <c r="T957" s="241"/>
      <c r="U957" s="241"/>
      <c r="V957" s="241"/>
      <c r="W957" s="241"/>
      <c r="X957" s="241"/>
      <c r="Y957" s="241"/>
      <c r="Z957" s="241"/>
    </row>
    <row r="958" spans="3:26" ht="16.5">
      <c r="C958" s="101"/>
      <c r="D958" s="101"/>
      <c r="E958" s="101"/>
      <c r="F958" s="101"/>
      <c r="G958" s="101"/>
      <c r="H958" s="101"/>
      <c r="I958" s="101"/>
      <c r="J958" s="101"/>
      <c r="S958" s="101"/>
      <c r="T958" s="241"/>
      <c r="U958" s="241"/>
      <c r="V958" s="241"/>
      <c r="W958" s="241"/>
      <c r="X958" s="241"/>
      <c r="Y958" s="241"/>
      <c r="Z958" s="241"/>
    </row>
    <row r="959" spans="3:26" ht="16.5">
      <c r="C959" s="101"/>
      <c r="D959" s="101"/>
      <c r="E959" s="101"/>
      <c r="F959" s="101"/>
      <c r="G959" s="101"/>
      <c r="H959" s="101"/>
      <c r="I959" s="101"/>
      <c r="J959" s="101"/>
      <c r="S959" s="101"/>
      <c r="T959" s="241"/>
      <c r="U959" s="241"/>
      <c r="V959" s="241"/>
      <c r="W959" s="241"/>
      <c r="X959" s="241"/>
      <c r="Y959" s="241"/>
      <c r="Z959" s="241"/>
    </row>
    <row r="960" spans="3:26" ht="16.5">
      <c r="C960" s="101"/>
      <c r="D960" s="101"/>
      <c r="E960" s="101"/>
      <c r="F960" s="101"/>
      <c r="G960" s="101"/>
      <c r="H960" s="101"/>
      <c r="I960" s="101"/>
      <c r="J960" s="101"/>
      <c r="S960" s="101"/>
      <c r="T960" s="241"/>
      <c r="U960" s="241"/>
      <c r="V960" s="241"/>
      <c r="W960" s="241"/>
      <c r="X960" s="241"/>
      <c r="Y960" s="241"/>
      <c r="Z960" s="241"/>
    </row>
    <row r="961" spans="3:26" ht="16.5">
      <c r="C961" s="101"/>
      <c r="D961" s="101"/>
      <c r="E961" s="101"/>
      <c r="F961" s="101"/>
      <c r="G961" s="101"/>
      <c r="H961" s="101"/>
      <c r="I961" s="101"/>
      <c r="J961" s="101"/>
      <c r="S961" s="101"/>
      <c r="T961" s="241"/>
      <c r="U961" s="241"/>
      <c r="V961" s="241"/>
      <c r="W961" s="241"/>
      <c r="X961" s="241"/>
      <c r="Y961" s="241"/>
      <c r="Z961" s="241"/>
    </row>
    <row r="962" spans="3:26" ht="16.5">
      <c r="C962" s="101"/>
      <c r="D962" s="101"/>
      <c r="E962" s="101"/>
      <c r="F962" s="101"/>
      <c r="G962" s="101"/>
      <c r="H962" s="101"/>
      <c r="I962" s="101"/>
      <c r="J962" s="101"/>
      <c r="S962" s="101"/>
      <c r="T962" s="241"/>
      <c r="U962" s="241"/>
      <c r="V962" s="241"/>
      <c r="W962" s="241"/>
      <c r="X962" s="241"/>
      <c r="Y962" s="241"/>
      <c r="Z962" s="241"/>
    </row>
    <row r="963" spans="3:26" ht="16.5">
      <c r="C963" s="101"/>
      <c r="D963" s="101"/>
      <c r="E963" s="101"/>
      <c r="F963" s="101"/>
      <c r="G963" s="101"/>
      <c r="H963" s="101"/>
      <c r="I963" s="101"/>
      <c r="J963" s="101"/>
      <c r="S963" s="101"/>
      <c r="T963" s="241"/>
      <c r="U963" s="241"/>
      <c r="V963" s="241"/>
      <c r="W963" s="241"/>
      <c r="X963" s="241"/>
      <c r="Y963" s="241"/>
      <c r="Z963" s="241"/>
    </row>
    <row r="964" spans="3:26" ht="16.5">
      <c r="C964" s="101"/>
      <c r="D964" s="101"/>
      <c r="E964" s="101"/>
      <c r="F964" s="101"/>
      <c r="G964" s="101"/>
      <c r="H964" s="101"/>
      <c r="I964" s="101"/>
      <c r="J964" s="101"/>
      <c r="S964" s="101"/>
      <c r="T964" s="241"/>
      <c r="U964" s="241"/>
      <c r="V964" s="241"/>
      <c r="W964" s="241"/>
      <c r="X964" s="241"/>
      <c r="Y964" s="241"/>
      <c r="Z964" s="241"/>
    </row>
    <row r="965" spans="3:26" ht="16.5">
      <c r="C965" s="101"/>
      <c r="D965" s="101"/>
      <c r="E965" s="101"/>
      <c r="F965" s="101"/>
      <c r="G965" s="101"/>
      <c r="H965" s="101"/>
      <c r="I965" s="101"/>
      <c r="J965" s="101"/>
      <c r="S965" s="101"/>
      <c r="T965" s="241"/>
      <c r="U965" s="241"/>
      <c r="V965" s="241"/>
      <c r="W965" s="241"/>
      <c r="X965" s="241"/>
      <c r="Y965" s="241"/>
      <c r="Z965" s="241"/>
    </row>
    <row r="966" spans="3:26" ht="16.5">
      <c r="C966" s="101"/>
      <c r="D966" s="101"/>
      <c r="E966" s="101"/>
      <c r="F966" s="101"/>
      <c r="G966" s="101"/>
      <c r="H966" s="101"/>
      <c r="I966" s="101"/>
      <c r="J966" s="101"/>
      <c r="S966" s="101"/>
      <c r="T966" s="241"/>
      <c r="U966" s="241"/>
      <c r="V966" s="241"/>
      <c r="W966" s="241"/>
      <c r="X966" s="241"/>
      <c r="Y966" s="241"/>
      <c r="Z966" s="241"/>
    </row>
    <row r="967" spans="3:26" ht="16.5">
      <c r="C967" s="101"/>
      <c r="D967" s="101"/>
      <c r="E967" s="101"/>
      <c r="F967" s="101"/>
      <c r="G967" s="101"/>
      <c r="H967" s="101"/>
      <c r="I967" s="101"/>
      <c r="J967" s="101"/>
      <c r="S967" s="101"/>
      <c r="T967" s="241"/>
      <c r="U967" s="241"/>
      <c r="V967" s="241"/>
      <c r="W967" s="241"/>
      <c r="X967" s="241"/>
      <c r="Y967" s="241"/>
      <c r="Z967" s="241"/>
    </row>
    <row r="968" spans="3:26" ht="16.5">
      <c r="C968" s="101"/>
      <c r="D968" s="101"/>
      <c r="E968" s="101"/>
      <c r="F968" s="101"/>
      <c r="G968" s="101"/>
      <c r="H968" s="101"/>
      <c r="I968" s="101"/>
      <c r="J968" s="101"/>
      <c r="S968" s="101"/>
      <c r="T968" s="241"/>
      <c r="U968" s="241"/>
      <c r="V968" s="241"/>
      <c r="W968" s="241"/>
      <c r="X968" s="241"/>
      <c r="Y968" s="241"/>
      <c r="Z968" s="241"/>
    </row>
    <row r="969" spans="3:26" ht="16.5">
      <c r="C969" s="101"/>
      <c r="D969" s="101"/>
      <c r="E969" s="101"/>
      <c r="F969" s="101"/>
      <c r="G969" s="101"/>
      <c r="H969" s="101"/>
      <c r="I969" s="101"/>
      <c r="J969" s="101"/>
      <c r="S969" s="101"/>
      <c r="T969" s="241"/>
      <c r="U969" s="241"/>
      <c r="V969" s="241"/>
      <c r="W969" s="241"/>
      <c r="X969" s="241"/>
      <c r="Y969" s="241"/>
      <c r="Z969" s="241"/>
    </row>
    <row r="970" spans="3:26" ht="16.5">
      <c r="C970" s="101"/>
      <c r="D970" s="101"/>
      <c r="E970" s="101"/>
      <c r="F970" s="101"/>
      <c r="G970" s="101"/>
      <c r="H970" s="101"/>
      <c r="I970" s="101"/>
      <c r="J970" s="101"/>
      <c r="S970" s="101"/>
      <c r="T970" s="241"/>
      <c r="U970" s="241"/>
      <c r="V970" s="241"/>
      <c r="W970" s="241"/>
      <c r="X970" s="241"/>
      <c r="Y970" s="241"/>
      <c r="Z970" s="241"/>
    </row>
    <row r="971" spans="3:26" ht="16.5">
      <c r="C971" s="101"/>
      <c r="D971" s="101"/>
      <c r="E971" s="101"/>
      <c r="F971" s="101"/>
      <c r="G971" s="101"/>
      <c r="H971" s="101"/>
      <c r="I971" s="101"/>
      <c r="J971" s="101"/>
      <c r="S971" s="101"/>
      <c r="T971" s="241"/>
      <c r="U971" s="241"/>
      <c r="V971" s="241"/>
      <c r="W971" s="241"/>
      <c r="X971" s="241"/>
      <c r="Y971" s="241"/>
      <c r="Z971" s="241"/>
    </row>
    <row r="972" spans="3:26" ht="16.5">
      <c r="C972" s="101"/>
      <c r="D972" s="101"/>
      <c r="E972" s="101"/>
      <c r="F972" s="101"/>
      <c r="G972" s="101"/>
      <c r="H972" s="101"/>
      <c r="I972" s="101"/>
      <c r="J972" s="101"/>
      <c r="S972" s="101"/>
      <c r="T972" s="241"/>
      <c r="U972" s="241"/>
      <c r="V972" s="241"/>
      <c r="W972" s="241"/>
      <c r="X972" s="241"/>
      <c r="Y972" s="241"/>
      <c r="Z972" s="241"/>
    </row>
    <row r="973" spans="3:26" ht="16.5">
      <c r="C973" s="101"/>
      <c r="D973" s="101"/>
      <c r="E973" s="101"/>
      <c r="F973" s="101"/>
      <c r="G973" s="101"/>
      <c r="H973" s="101"/>
      <c r="I973" s="101"/>
      <c r="J973" s="101"/>
      <c r="S973" s="101"/>
      <c r="T973" s="241"/>
      <c r="U973" s="241"/>
      <c r="V973" s="241"/>
      <c r="W973" s="241"/>
      <c r="X973" s="241"/>
      <c r="Y973" s="241"/>
      <c r="Z973" s="241"/>
    </row>
    <row r="974" spans="3:26" ht="16.5">
      <c r="C974" s="101"/>
      <c r="D974" s="101"/>
      <c r="E974" s="101"/>
      <c r="F974" s="101"/>
      <c r="G974" s="101"/>
      <c r="H974" s="101"/>
      <c r="I974" s="101"/>
      <c r="J974" s="101"/>
      <c r="S974" s="101"/>
      <c r="T974" s="241"/>
      <c r="U974" s="241"/>
      <c r="V974" s="241"/>
      <c r="W974" s="241"/>
      <c r="X974" s="241"/>
      <c r="Y974" s="241"/>
      <c r="Z974" s="241"/>
    </row>
    <row r="975" spans="3:26" ht="16.5">
      <c r="C975" s="101"/>
      <c r="D975" s="101"/>
      <c r="E975" s="101"/>
      <c r="F975" s="101"/>
      <c r="G975" s="101"/>
      <c r="H975" s="101"/>
      <c r="I975" s="101"/>
      <c r="J975" s="101"/>
      <c r="S975" s="101"/>
      <c r="T975" s="241"/>
      <c r="U975" s="241"/>
      <c r="V975" s="241"/>
      <c r="W975" s="241"/>
      <c r="X975" s="241"/>
      <c r="Y975" s="241"/>
      <c r="Z975" s="241"/>
    </row>
    <row r="976" spans="3:26" ht="16.5">
      <c r="C976" s="101"/>
      <c r="D976" s="101"/>
      <c r="E976" s="101"/>
      <c r="F976" s="101"/>
      <c r="G976" s="101"/>
      <c r="H976" s="101"/>
      <c r="I976" s="101"/>
      <c r="J976" s="101"/>
      <c r="S976" s="101"/>
      <c r="T976" s="241"/>
      <c r="U976" s="241"/>
      <c r="V976" s="241"/>
      <c r="W976" s="241"/>
      <c r="X976" s="241"/>
      <c r="Y976" s="241"/>
      <c r="Z976" s="241"/>
    </row>
    <row r="977" spans="3:26" ht="16.5">
      <c r="C977" s="101"/>
      <c r="D977" s="101"/>
      <c r="E977" s="101"/>
      <c r="F977" s="101"/>
      <c r="G977" s="101"/>
      <c r="H977" s="101"/>
      <c r="I977" s="101"/>
      <c r="J977" s="101"/>
      <c r="S977" s="101"/>
      <c r="T977" s="241"/>
      <c r="U977" s="241"/>
      <c r="V977" s="241"/>
      <c r="W977" s="241"/>
      <c r="X977" s="241"/>
      <c r="Y977" s="241"/>
      <c r="Z977" s="241"/>
    </row>
    <row r="978" spans="3:26" ht="16.5">
      <c r="C978" s="101"/>
      <c r="D978" s="101"/>
      <c r="E978" s="101"/>
      <c r="F978" s="101"/>
      <c r="G978" s="101"/>
      <c r="H978" s="101"/>
      <c r="I978" s="101"/>
      <c r="J978" s="101"/>
      <c r="S978" s="101"/>
      <c r="T978" s="241"/>
      <c r="U978" s="241"/>
      <c r="V978" s="241"/>
      <c r="W978" s="241"/>
      <c r="X978" s="241"/>
      <c r="Y978" s="241"/>
      <c r="Z978" s="241"/>
    </row>
    <row r="979" spans="3:26" ht="16.5">
      <c r="C979" s="101"/>
      <c r="D979" s="101"/>
      <c r="E979" s="101"/>
      <c r="F979" s="101"/>
      <c r="G979" s="101"/>
      <c r="H979" s="101"/>
      <c r="I979" s="101"/>
      <c r="J979" s="101"/>
      <c r="S979" s="101"/>
      <c r="T979" s="241"/>
      <c r="U979" s="241"/>
      <c r="V979" s="241"/>
      <c r="W979" s="241"/>
      <c r="X979" s="241"/>
      <c r="Y979" s="241"/>
      <c r="Z979" s="241"/>
    </row>
    <row r="980" spans="3:26" ht="16.5">
      <c r="C980" s="101"/>
      <c r="D980" s="101"/>
      <c r="E980" s="101"/>
      <c r="F980" s="101"/>
      <c r="G980" s="101"/>
      <c r="H980" s="101"/>
      <c r="I980" s="101"/>
      <c r="J980" s="101"/>
      <c r="S980" s="101"/>
      <c r="T980" s="241"/>
      <c r="U980" s="241"/>
      <c r="V980" s="241"/>
      <c r="W980" s="241"/>
      <c r="X980" s="241"/>
      <c r="Y980" s="241"/>
      <c r="Z980" s="241"/>
    </row>
    <row r="981" spans="3:26" ht="16.5">
      <c r="C981" s="101"/>
      <c r="D981" s="101"/>
      <c r="E981" s="101"/>
      <c r="F981" s="101"/>
      <c r="G981" s="101"/>
      <c r="H981" s="101"/>
      <c r="I981" s="101"/>
      <c r="J981" s="101"/>
      <c r="S981" s="101"/>
      <c r="T981" s="241"/>
      <c r="U981" s="241"/>
      <c r="V981" s="241"/>
      <c r="W981" s="241"/>
      <c r="X981" s="241"/>
      <c r="Y981" s="241"/>
      <c r="Z981" s="241"/>
    </row>
    <row r="982" spans="3:26" ht="16.5">
      <c r="C982" s="101"/>
      <c r="D982" s="101"/>
      <c r="E982" s="101"/>
      <c r="F982" s="101"/>
      <c r="G982" s="101"/>
      <c r="H982" s="101"/>
      <c r="I982" s="101"/>
      <c r="J982" s="101"/>
      <c r="S982" s="101"/>
      <c r="T982" s="241"/>
      <c r="U982" s="241"/>
      <c r="V982" s="241"/>
      <c r="W982" s="241"/>
      <c r="X982" s="241"/>
      <c r="Y982" s="241"/>
      <c r="Z982" s="241"/>
    </row>
    <row r="983" spans="3:26" ht="16.5">
      <c r="C983" s="101"/>
      <c r="D983" s="101"/>
      <c r="E983" s="101"/>
      <c r="F983" s="101"/>
      <c r="G983" s="101"/>
      <c r="H983" s="101"/>
      <c r="I983" s="101"/>
      <c r="J983" s="101"/>
      <c r="S983" s="101"/>
      <c r="T983" s="241"/>
      <c r="U983" s="241"/>
      <c r="V983" s="241"/>
      <c r="W983" s="241"/>
      <c r="X983" s="241"/>
      <c r="Y983" s="241"/>
      <c r="Z983" s="241"/>
    </row>
    <row r="984" spans="3:26" ht="16.5">
      <c r="C984" s="101"/>
      <c r="D984" s="101"/>
      <c r="E984" s="101"/>
      <c r="F984" s="101"/>
      <c r="G984" s="101"/>
      <c r="H984" s="101"/>
      <c r="I984" s="101"/>
      <c r="J984" s="101"/>
      <c r="S984" s="101"/>
      <c r="T984" s="241"/>
      <c r="U984" s="241"/>
      <c r="V984" s="241"/>
      <c r="W984" s="241"/>
      <c r="X984" s="241"/>
      <c r="Y984" s="241"/>
      <c r="Z984" s="241"/>
    </row>
    <row r="985" spans="3:26" ht="16.5">
      <c r="C985" s="101"/>
      <c r="D985" s="101"/>
      <c r="E985" s="101"/>
      <c r="F985" s="101"/>
      <c r="G985" s="101"/>
      <c r="H985" s="101"/>
      <c r="I985" s="101"/>
      <c r="J985" s="101"/>
      <c r="S985" s="101"/>
      <c r="T985" s="241"/>
      <c r="U985" s="241"/>
      <c r="V985" s="241"/>
      <c r="W985" s="241"/>
      <c r="X985" s="241"/>
      <c r="Y985" s="241"/>
      <c r="Z985" s="241"/>
    </row>
    <row r="986" spans="3:26" ht="16.5">
      <c r="C986" s="101"/>
      <c r="D986" s="101"/>
      <c r="E986" s="101"/>
      <c r="F986" s="101"/>
      <c r="G986" s="101"/>
      <c r="H986" s="101"/>
      <c r="I986" s="101"/>
      <c r="J986" s="101"/>
      <c r="S986" s="101"/>
      <c r="T986" s="241"/>
      <c r="U986" s="241"/>
      <c r="V986" s="241"/>
      <c r="W986" s="241"/>
      <c r="X986" s="241"/>
      <c r="Y986" s="241"/>
      <c r="Z986" s="241"/>
    </row>
    <row r="987" spans="3:26" ht="16.5">
      <c r="C987" s="101"/>
      <c r="D987" s="101"/>
      <c r="E987" s="101"/>
      <c r="F987" s="101"/>
      <c r="G987" s="101"/>
      <c r="H987" s="101"/>
      <c r="I987" s="101"/>
      <c r="J987" s="101"/>
      <c r="S987" s="101"/>
      <c r="T987" s="241"/>
      <c r="U987" s="241"/>
      <c r="V987" s="241"/>
      <c r="W987" s="241"/>
      <c r="X987" s="241"/>
      <c r="Y987" s="241"/>
      <c r="Z987" s="241"/>
    </row>
    <row r="988" spans="3:26" ht="16.5">
      <c r="C988" s="101"/>
      <c r="D988" s="101"/>
      <c r="E988" s="101"/>
      <c r="F988" s="101"/>
      <c r="G988" s="101"/>
      <c r="H988" s="101"/>
      <c r="I988" s="101"/>
      <c r="J988" s="101"/>
      <c r="S988" s="101"/>
      <c r="T988" s="241"/>
      <c r="U988" s="241"/>
      <c r="V988" s="241"/>
      <c r="W988" s="241"/>
      <c r="X988" s="241"/>
      <c r="Y988" s="241"/>
      <c r="Z988" s="241"/>
    </row>
    <row r="989" spans="3:26" ht="16.5">
      <c r="C989" s="101"/>
      <c r="D989" s="101"/>
      <c r="E989" s="101"/>
      <c r="F989" s="101"/>
      <c r="G989" s="101"/>
      <c r="H989" s="101"/>
      <c r="I989" s="101"/>
      <c r="J989" s="101"/>
      <c r="S989" s="101"/>
      <c r="T989" s="241"/>
      <c r="U989" s="241"/>
      <c r="V989" s="241"/>
      <c r="W989" s="241"/>
      <c r="X989" s="241"/>
      <c r="Y989" s="241"/>
      <c r="Z989" s="241"/>
    </row>
    <row r="990" spans="3:26" ht="16.5">
      <c r="C990" s="101"/>
      <c r="D990" s="101"/>
      <c r="E990" s="101"/>
      <c r="F990" s="101"/>
      <c r="G990" s="101"/>
      <c r="H990" s="101"/>
      <c r="I990" s="101"/>
      <c r="J990" s="101"/>
      <c r="S990" s="101"/>
      <c r="T990" s="241"/>
      <c r="U990" s="241"/>
      <c r="V990" s="241"/>
      <c r="W990" s="241"/>
      <c r="X990" s="241"/>
      <c r="Y990" s="241"/>
      <c r="Z990" s="241"/>
    </row>
    <row r="991" spans="3:26" ht="16.5">
      <c r="C991" s="101"/>
      <c r="D991" s="101"/>
      <c r="E991" s="101"/>
      <c r="F991" s="101"/>
      <c r="G991" s="101"/>
      <c r="H991" s="101"/>
      <c r="I991" s="101"/>
      <c r="J991" s="101"/>
      <c r="S991" s="101"/>
      <c r="T991" s="241"/>
      <c r="U991" s="241"/>
      <c r="V991" s="241"/>
      <c r="W991" s="241"/>
      <c r="X991" s="241"/>
      <c r="Y991" s="241"/>
      <c r="Z991" s="241"/>
    </row>
    <row r="992" spans="3:26" ht="16.5">
      <c r="C992" s="101"/>
      <c r="D992" s="101"/>
      <c r="E992" s="101"/>
      <c r="F992" s="101"/>
      <c r="G992" s="101"/>
      <c r="H992" s="101"/>
      <c r="I992" s="101"/>
      <c r="J992" s="101"/>
      <c r="S992" s="101"/>
      <c r="T992" s="241"/>
      <c r="U992" s="241"/>
      <c r="V992" s="241"/>
      <c r="W992" s="241"/>
      <c r="X992" s="241"/>
      <c r="Y992" s="241"/>
      <c r="Z992" s="241"/>
    </row>
    <row r="993" spans="3:26" ht="16.5">
      <c r="C993" s="101"/>
      <c r="D993" s="101"/>
      <c r="E993" s="101"/>
      <c r="F993" s="101"/>
      <c r="G993" s="101"/>
      <c r="H993" s="101"/>
      <c r="I993" s="101"/>
      <c r="J993" s="101"/>
      <c r="S993" s="101"/>
      <c r="T993" s="241"/>
      <c r="U993" s="241"/>
      <c r="V993" s="241"/>
      <c r="W993" s="241"/>
      <c r="X993" s="241"/>
      <c r="Y993" s="241"/>
      <c r="Z993" s="241"/>
    </row>
    <row r="994" spans="3:26" ht="16.5">
      <c r="C994" s="101"/>
      <c r="D994" s="101"/>
      <c r="E994" s="101"/>
      <c r="F994" s="101"/>
      <c r="G994" s="101"/>
      <c r="H994" s="101"/>
      <c r="I994" s="101"/>
      <c r="J994" s="101"/>
      <c r="S994" s="101"/>
      <c r="T994" s="241"/>
      <c r="U994" s="241"/>
      <c r="V994" s="241"/>
      <c r="W994" s="241"/>
      <c r="X994" s="241"/>
      <c r="Y994" s="241"/>
      <c r="Z994" s="241"/>
    </row>
    <row r="995" spans="3:26" ht="16.5">
      <c r="C995" s="101"/>
      <c r="D995" s="101"/>
      <c r="E995" s="101"/>
      <c r="F995" s="101"/>
      <c r="G995" s="101"/>
      <c r="H995" s="101"/>
      <c r="I995" s="101"/>
      <c r="J995" s="101"/>
      <c r="S995" s="101"/>
      <c r="T995" s="241"/>
      <c r="U995" s="241"/>
      <c r="V995" s="241"/>
      <c r="W995" s="241"/>
      <c r="X995" s="241"/>
      <c r="Y995" s="241"/>
      <c r="Z995" s="241"/>
    </row>
    <row r="996" spans="3:26" ht="16.5">
      <c r="C996" s="101"/>
      <c r="D996" s="101"/>
      <c r="E996" s="101"/>
      <c r="F996" s="101"/>
      <c r="G996" s="101"/>
      <c r="H996" s="101"/>
      <c r="I996" s="101"/>
      <c r="J996" s="101"/>
      <c r="S996" s="101"/>
      <c r="T996" s="241"/>
      <c r="U996" s="241"/>
      <c r="V996" s="241"/>
      <c r="W996" s="241"/>
      <c r="X996" s="241"/>
      <c r="Y996" s="241"/>
      <c r="Z996" s="241"/>
    </row>
    <row r="997" spans="3:26" ht="16.5">
      <c r="C997" s="101"/>
      <c r="D997" s="101"/>
      <c r="E997" s="101"/>
      <c r="F997" s="101"/>
      <c r="G997" s="101"/>
      <c r="H997" s="101"/>
      <c r="I997" s="101"/>
      <c r="J997" s="101"/>
      <c r="S997" s="101"/>
      <c r="T997" s="241"/>
      <c r="U997" s="241"/>
      <c r="V997" s="241"/>
      <c r="W997" s="241"/>
      <c r="X997" s="241"/>
      <c r="Y997" s="241"/>
      <c r="Z997" s="241"/>
    </row>
    <row r="998" spans="3:26" ht="16.5">
      <c r="C998" s="101"/>
      <c r="D998" s="101"/>
      <c r="E998" s="101"/>
      <c r="F998" s="101"/>
      <c r="G998" s="101"/>
      <c r="H998" s="101"/>
      <c r="I998" s="101"/>
      <c r="J998" s="101"/>
      <c r="S998" s="101"/>
      <c r="T998" s="241"/>
      <c r="U998" s="241"/>
      <c r="V998" s="241"/>
      <c r="W998" s="241"/>
      <c r="X998" s="241"/>
      <c r="Y998" s="241"/>
      <c r="Z998" s="241"/>
    </row>
    <row r="999" spans="3:26" ht="16.5">
      <c r="C999" s="101"/>
      <c r="D999" s="101"/>
      <c r="E999" s="101"/>
      <c r="F999" s="101"/>
      <c r="G999" s="101"/>
      <c r="H999" s="101"/>
      <c r="I999" s="101"/>
      <c r="J999" s="101"/>
      <c r="S999" s="101"/>
      <c r="T999" s="241"/>
      <c r="U999" s="241"/>
      <c r="V999" s="241"/>
      <c r="W999" s="241"/>
      <c r="X999" s="241"/>
      <c r="Y999" s="241"/>
      <c r="Z999" s="241"/>
    </row>
    <row r="1000" spans="3:26" ht="16.5">
      <c r="C1000" s="101"/>
      <c r="D1000" s="101"/>
      <c r="E1000" s="101"/>
      <c r="F1000" s="101"/>
      <c r="G1000" s="101"/>
      <c r="H1000" s="101"/>
      <c r="I1000" s="101"/>
      <c r="J1000" s="101"/>
      <c r="S1000" s="101"/>
      <c r="T1000" s="241"/>
      <c r="U1000" s="241"/>
      <c r="V1000" s="241"/>
      <c r="W1000" s="241"/>
      <c r="X1000" s="241"/>
      <c r="Y1000" s="241"/>
      <c r="Z1000" s="241"/>
    </row>
    <row r="1001" spans="3:26" ht="16.5">
      <c r="C1001" s="101"/>
      <c r="D1001" s="101"/>
      <c r="E1001" s="101"/>
      <c r="F1001" s="101"/>
      <c r="G1001" s="101"/>
      <c r="H1001" s="101"/>
      <c r="I1001" s="101"/>
      <c r="J1001" s="101"/>
      <c r="S1001" s="101"/>
      <c r="T1001" s="241"/>
      <c r="U1001" s="241"/>
      <c r="V1001" s="241"/>
      <c r="W1001" s="241"/>
      <c r="X1001" s="241"/>
      <c r="Y1001" s="241"/>
      <c r="Z1001" s="241"/>
    </row>
    <row r="1002" spans="3:26" ht="16.5">
      <c r="C1002" s="101"/>
      <c r="D1002" s="101"/>
      <c r="E1002" s="101"/>
      <c r="F1002" s="101"/>
      <c r="G1002" s="101"/>
      <c r="H1002" s="101"/>
      <c r="I1002" s="101"/>
      <c r="J1002" s="101"/>
      <c r="S1002" s="101"/>
      <c r="T1002" s="241"/>
      <c r="U1002" s="241"/>
      <c r="V1002" s="241"/>
      <c r="W1002" s="241"/>
      <c r="X1002" s="241"/>
      <c r="Y1002" s="241"/>
      <c r="Z1002" s="241"/>
    </row>
    <row r="1003" spans="3:26" ht="16.5">
      <c r="C1003" s="101"/>
      <c r="D1003" s="101"/>
      <c r="E1003" s="101"/>
      <c r="F1003" s="101"/>
      <c r="G1003" s="101"/>
      <c r="H1003" s="101"/>
      <c r="I1003" s="101"/>
      <c r="J1003" s="101"/>
      <c r="S1003" s="101"/>
      <c r="T1003" s="241"/>
      <c r="U1003" s="241"/>
      <c r="V1003" s="241"/>
      <c r="W1003" s="241"/>
      <c r="X1003" s="241"/>
      <c r="Y1003" s="241"/>
      <c r="Z1003" s="241"/>
    </row>
    <row r="1004" spans="3:26" ht="16.5">
      <c r="C1004" s="101"/>
      <c r="D1004" s="101"/>
      <c r="E1004" s="101"/>
      <c r="F1004" s="101"/>
      <c r="G1004" s="101"/>
      <c r="H1004" s="101"/>
      <c r="I1004" s="101"/>
      <c r="J1004" s="101"/>
      <c r="S1004" s="101"/>
      <c r="T1004" s="241"/>
      <c r="U1004" s="241"/>
      <c r="V1004" s="241"/>
      <c r="W1004" s="241"/>
      <c r="X1004" s="241"/>
      <c r="Y1004" s="241"/>
      <c r="Z1004" s="241"/>
    </row>
    <row r="1005" spans="3:26" ht="16.5">
      <c r="C1005" s="101"/>
      <c r="D1005" s="101"/>
      <c r="E1005" s="101"/>
      <c r="F1005" s="101"/>
      <c r="G1005" s="101"/>
      <c r="H1005" s="101"/>
      <c r="I1005" s="101"/>
      <c r="J1005" s="101"/>
      <c r="S1005" s="101"/>
      <c r="T1005" s="241"/>
      <c r="U1005" s="241"/>
      <c r="V1005" s="241"/>
      <c r="W1005" s="241"/>
      <c r="X1005" s="241"/>
      <c r="Y1005" s="241"/>
      <c r="Z1005" s="241"/>
    </row>
    <row r="1006" spans="3:26" ht="16.5">
      <c r="C1006" s="101"/>
      <c r="D1006" s="101"/>
      <c r="E1006" s="101"/>
      <c r="F1006" s="101"/>
      <c r="G1006" s="101"/>
      <c r="H1006" s="101"/>
      <c r="I1006" s="101"/>
      <c r="J1006" s="101"/>
      <c r="S1006" s="101"/>
      <c r="T1006" s="241"/>
      <c r="U1006" s="241"/>
      <c r="V1006" s="241"/>
      <c r="W1006" s="241"/>
      <c r="X1006" s="241"/>
      <c r="Y1006" s="241"/>
      <c r="Z1006" s="241"/>
    </row>
    <row r="1007" spans="3:26" ht="16.5">
      <c r="C1007" s="101"/>
      <c r="D1007" s="101"/>
      <c r="E1007" s="101"/>
      <c r="F1007" s="101"/>
      <c r="G1007" s="101"/>
      <c r="H1007" s="101"/>
      <c r="I1007" s="101"/>
      <c r="J1007" s="101"/>
      <c r="S1007" s="101"/>
      <c r="T1007" s="241"/>
      <c r="U1007" s="241"/>
      <c r="V1007" s="241"/>
      <c r="W1007" s="241"/>
      <c r="X1007" s="241"/>
      <c r="Y1007" s="241"/>
      <c r="Z1007" s="241"/>
    </row>
    <row r="1008" spans="3:26" ht="16.5">
      <c r="C1008" s="101"/>
      <c r="D1008" s="101"/>
      <c r="E1008" s="101"/>
      <c r="F1008" s="101"/>
      <c r="G1008" s="101"/>
      <c r="H1008" s="101"/>
      <c r="I1008" s="101"/>
      <c r="J1008" s="101"/>
      <c r="S1008" s="101"/>
      <c r="T1008" s="241"/>
      <c r="U1008" s="241"/>
      <c r="V1008" s="241"/>
      <c r="W1008" s="241"/>
      <c r="X1008" s="241"/>
      <c r="Y1008" s="241"/>
      <c r="Z1008" s="241"/>
    </row>
    <row r="1009" spans="3:26" ht="16.5">
      <c r="C1009" s="101"/>
      <c r="D1009" s="101"/>
      <c r="E1009" s="101"/>
      <c r="F1009" s="101"/>
      <c r="G1009" s="101"/>
      <c r="H1009" s="101"/>
      <c r="I1009" s="101"/>
      <c r="J1009" s="101"/>
      <c r="S1009" s="101"/>
      <c r="T1009" s="241"/>
      <c r="U1009" s="241"/>
      <c r="V1009" s="241"/>
      <c r="W1009" s="241"/>
      <c r="X1009" s="241"/>
      <c r="Y1009" s="241"/>
      <c r="Z1009" s="241"/>
    </row>
    <row r="1010" spans="3:26" ht="16.5">
      <c r="C1010" s="101"/>
      <c r="D1010" s="101"/>
      <c r="E1010" s="101"/>
      <c r="F1010" s="101"/>
      <c r="G1010" s="101"/>
      <c r="H1010" s="101"/>
      <c r="I1010" s="101"/>
      <c r="J1010" s="101"/>
      <c r="S1010" s="101"/>
      <c r="T1010" s="241"/>
      <c r="U1010" s="241"/>
      <c r="V1010" s="241"/>
      <c r="W1010" s="241"/>
      <c r="X1010" s="241"/>
      <c r="Y1010" s="241"/>
      <c r="Z1010" s="241"/>
    </row>
    <row r="1011" spans="3:26" ht="16.5">
      <c r="C1011" s="101"/>
      <c r="D1011" s="101"/>
      <c r="E1011" s="101"/>
      <c r="F1011" s="101"/>
      <c r="G1011" s="101"/>
      <c r="H1011" s="101"/>
      <c r="I1011" s="101"/>
      <c r="J1011" s="101"/>
      <c r="S1011" s="101"/>
      <c r="T1011" s="241"/>
      <c r="U1011" s="241"/>
      <c r="V1011" s="241"/>
      <c r="W1011" s="241"/>
      <c r="X1011" s="241"/>
      <c r="Y1011" s="241"/>
      <c r="Z1011" s="241"/>
    </row>
    <row r="1012" spans="3:26" ht="16.5">
      <c r="C1012" s="101"/>
      <c r="D1012" s="101"/>
      <c r="E1012" s="101"/>
      <c r="F1012" s="101"/>
      <c r="G1012" s="101"/>
      <c r="H1012" s="101"/>
      <c r="I1012" s="101"/>
      <c r="J1012" s="101"/>
      <c r="S1012" s="101"/>
      <c r="T1012" s="241"/>
      <c r="U1012" s="241"/>
      <c r="V1012" s="241"/>
      <c r="W1012" s="241"/>
      <c r="X1012" s="241"/>
      <c r="Y1012" s="241"/>
      <c r="Z1012" s="241"/>
    </row>
    <row r="1013" spans="3:26" ht="16.5">
      <c r="C1013" s="101"/>
      <c r="D1013" s="101"/>
      <c r="E1013" s="101"/>
      <c r="F1013" s="101"/>
      <c r="G1013" s="101"/>
      <c r="H1013" s="101"/>
      <c r="I1013" s="101"/>
      <c r="J1013" s="101"/>
      <c r="S1013" s="101"/>
      <c r="T1013" s="241"/>
      <c r="U1013" s="241"/>
      <c r="V1013" s="241"/>
      <c r="W1013" s="241"/>
      <c r="X1013" s="241"/>
      <c r="Y1013" s="241"/>
      <c r="Z1013" s="241"/>
    </row>
    <row r="1014" spans="3:26" ht="16.5">
      <c r="C1014" s="101"/>
      <c r="D1014" s="101"/>
      <c r="E1014" s="101"/>
      <c r="F1014" s="101"/>
      <c r="G1014" s="101"/>
      <c r="H1014" s="101"/>
      <c r="I1014" s="101"/>
      <c r="J1014" s="101"/>
      <c r="S1014" s="101"/>
      <c r="T1014" s="241"/>
      <c r="U1014" s="241"/>
      <c r="V1014" s="241"/>
      <c r="W1014" s="241"/>
      <c r="X1014" s="241"/>
      <c r="Y1014" s="241"/>
      <c r="Z1014" s="241"/>
    </row>
    <row r="1015" spans="3:26" ht="16.5">
      <c r="C1015" s="101"/>
      <c r="D1015" s="101"/>
      <c r="E1015" s="101"/>
      <c r="F1015" s="101"/>
      <c r="G1015" s="101"/>
      <c r="H1015" s="101"/>
      <c r="I1015" s="101"/>
      <c r="J1015" s="101"/>
      <c r="S1015" s="101"/>
      <c r="T1015" s="241"/>
      <c r="U1015" s="241"/>
      <c r="V1015" s="241"/>
      <c r="W1015" s="241"/>
      <c r="X1015" s="241"/>
      <c r="Y1015" s="241"/>
      <c r="Z1015" s="241"/>
    </row>
    <row r="1016" spans="3:26" ht="16.5">
      <c r="C1016" s="101"/>
      <c r="D1016" s="101"/>
      <c r="E1016" s="101"/>
      <c r="F1016" s="101"/>
      <c r="G1016" s="101"/>
      <c r="H1016" s="101"/>
      <c r="I1016" s="101"/>
      <c r="J1016" s="101"/>
      <c r="S1016" s="101"/>
      <c r="T1016" s="241"/>
      <c r="U1016" s="241"/>
      <c r="V1016" s="241"/>
      <c r="W1016" s="241"/>
      <c r="X1016" s="241"/>
      <c r="Y1016" s="241"/>
      <c r="Z1016" s="241"/>
    </row>
    <row r="1017" spans="3:26" ht="16.5">
      <c r="C1017" s="101"/>
      <c r="D1017" s="101"/>
      <c r="E1017" s="101"/>
      <c r="F1017" s="101"/>
      <c r="G1017" s="101"/>
      <c r="H1017" s="101"/>
      <c r="I1017" s="101"/>
      <c r="J1017" s="101"/>
      <c r="S1017" s="101"/>
      <c r="T1017" s="241"/>
      <c r="U1017" s="241"/>
      <c r="V1017" s="241"/>
      <c r="W1017" s="241"/>
      <c r="X1017" s="241"/>
      <c r="Y1017" s="241"/>
      <c r="Z1017" s="241"/>
    </row>
    <row r="1018" spans="3:26" ht="16.5">
      <c r="C1018" s="101"/>
      <c r="D1018" s="101"/>
      <c r="E1018" s="101"/>
      <c r="F1018" s="101"/>
      <c r="G1018" s="101"/>
      <c r="H1018" s="101"/>
      <c r="I1018" s="101"/>
      <c r="J1018" s="101"/>
      <c r="S1018" s="101"/>
      <c r="T1018" s="241"/>
      <c r="U1018" s="241"/>
      <c r="V1018" s="241"/>
      <c r="W1018" s="241"/>
      <c r="X1018" s="241"/>
      <c r="Y1018" s="241"/>
      <c r="Z1018" s="241"/>
    </row>
    <row r="1019" spans="3:26" ht="16.5">
      <c r="C1019" s="101"/>
      <c r="D1019" s="101"/>
      <c r="E1019" s="101"/>
      <c r="F1019" s="101"/>
      <c r="G1019" s="101"/>
      <c r="H1019" s="101"/>
      <c r="I1019" s="101"/>
      <c r="J1019" s="101"/>
      <c r="S1019" s="101"/>
      <c r="T1019" s="241"/>
      <c r="U1019" s="241"/>
      <c r="V1019" s="241"/>
      <c r="W1019" s="241"/>
      <c r="X1019" s="241"/>
      <c r="Y1019" s="241"/>
      <c r="Z1019" s="241"/>
    </row>
    <row r="1020" spans="3:26" ht="16.5">
      <c r="C1020" s="101"/>
      <c r="D1020" s="101"/>
      <c r="E1020" s="101"/>
      <c r="F1020" s="101"/>
      <c r="G1020" s="101"/>
      <c r="H1020" s="101"/>
      <c r="I1020" s="101"/>
      <c r="J1020" s="101"/>
      <c r="S1020" s="101"/>
      <c r="T1020" s="241"/>
      <c r="U1020" s="241"/>
      <c r="V1020" s="241"/>
      <c r="W1020" s="241"/>
      <c r="X1020" s="241"/>
      <c r="Y1020" s="241"/>
      <c r="Z1020" s="241"/>
    </row>
    <row r="1021" spans="3:26" ht="16.5">
      <c r="C1021" s="101"/>
      <c r="D1021" s="101"/>
      <c r="E1021" s="101"/>
      <c r="F1021" s="101"/>
      <c r="G1021" s="101"/>
      <c r="H1021" s="101"/>
      <c r="I1021" s="101"/>
      <c r="J1021" s="101"/>
      <c r="S1021" s="101"/>
      <c r="T1021" s="241"/>
      <c r="U1021" s="241"/>
      <c r="V1021" s="241"/>
      <c r="W1021" s="241"/>
      <c r="X1021" s="241"/>
      <c r="Y1021" s="241"/>
      <c r="Z1021" s="241"/>
    </row>
    <row r="1022" spans="3:26" ht="16.5">
      <c r="C1022" s="101"/>
      <c r="D1022" s="101"/>
      <c r="E1022" s="101"/>
      <c r="F1022" s="101"/>
      <c r="G1022" s="101"/>
      <c r="H1022" s="101"/>
      <c r="I1022" s="101"/>
      <c r="J1022" s="101"/>
      <c r="S1022" s="101"/>
      <c r="T1022" s="241"/>
      <c r="U1022" s="241"/>
      <c r="V1022" s="241"/>
      <c r="W1022" s="241"/>
      <c r="X1022" s="241"/>
      <c r="Y1022" s="241"/>
      <c r="Z1022" s="241"/>
    </row>
    <row r="1023" spans="3:26" ht="16.5">
      <c r="C1023" s="101"/>
      <c r="D1023" s="101"/>
      <c r="E1023" s="101"/>
      <c r="F1023" s="101"/>
      <c r="G1023" s="101"/>
      <c r="H1023" s="101"/>
      <c r="I1023" s="101"/>
      <c r="J1023" s="101"/>
      <c r="S1023" s="101"/>
      <c r="T1023" s="241"/>
      <c r="U1023" s="241"/>
      <c r="V1023" s="241"/>
      <c r="W1023" s="241"/>
      <c r="X1023" s="241"/>
      <c r="Y1023" s="241"/>
      <c r="Z1023" s="241"/>
    </row>
    <row r="1024" spans="3:26" ht="16.5">
      <c r="C1024" s="101"/>
      <c r="D1024" s="101"/>
      <c r="E1024" s="101"/>
      <c r="F1024" s="101"/>
      <c r="G1024" s="101"/>
      <c r="H1024" s="101"/>
      <c r="I1024" s="101"/>
      <c r="J1024" s="101"/>
      <c r="S1024" s="101"/>
      <c r="T1024" s="241"/>
      <c r="U1024" s="241"/>
      <c r="V1024" s="241"/>
      <c r="W1024" s="241"/>
      <c r="X1024" s="241"/>
      <c r="Y1024" s="241"/>
      <c r="Z1024" s="241"/>
    </row>
    <row r="1025" spans="3:26" ht="16.5">
      <c r="C1025" s="101"/>
      <c r="D1025" s="101"/>
      <c r="E1025" s="101"/>
      <c r="F1025" s="101"/>
      <c r="G1025" s="101"/>
      <c r="H1025" s="101"/>
      <c r="I1025" s="101"/>
      <c r="J1025" s="101"/>
      <c r="S1025" s="101"/>
      <c r="T1025" s="241"/>
      <c r="U1025" s="241"/>
      <c r="V1025" s="241"/>
      <c r="W1025" s="241"/>
      <c r="X1025" s="241"/>
      <c r="Y1025" s="241"/>
      <c r="Z1025" s="241"/>
    </row>
    <row r="1026" spans="3:26" ht="16.5">
      <c r="C1026" s="101"/>
      <c r="D1026" s="101"/>
      <c r="E1026" s="101"/>
      <c r="F1026" s="101"/>
      <c r="G1026" s="101"/>
      <c r="H1026" s="101"/>
      <c r="I1026" s="101"/>
      <c r="J1026" s="101"/>
      <c r="S1026" s="101"/>
      <c r="T1026" s="241"/>
      <c r="U1026" s="241"/>
      <c r="V1026" s="241"/>
      <c r="W1026" s="241"/>
      <c r="X1026" s="241"/>
      <c r="Y1026" s="241"/>
      <c r="Z1026" s="241"/>
    </row>
    <row r="1027" spans="3:26" ht="16.5">
      <c r="C1027" s="101"/>
      <c r="D1027" s="101"/>
      <c r="E1027" s="101"/>
      <c r="F1027" s="101"/>
      <c r="G1027" s="101"/>
      <c r="H1027" s="101"/>
      <c r="I1027" s="101"/>
      <c r="J1027" s="101"/>
      <c r="S1027" s="101"/>
      <c r="T1027" s="241"/>
      <c r="U1027" s="241"/>
      <c r="V1027" s="241"/>
      <c r="W1027" s="241"/>
      <c r="X1027" s="241"/>
      <c r="Y1027" s="241"/>
      <c r="Z1027" s="241"/>
    </row>
    <row r="1028" spans="3:26" ht="16.5">
      <c r="C1028" s="101"/>
      <c r="D1028" s="101"/>
      <c r="E1028" s="101"/>
      <c r="F1028" s="101"/>
      <c r="G1028" s="101"/>
      <c r="H1028" s="101"/>
      <c r="I1028" s="101"/>
      <c r="J1028" s="101"/>
      <c r="S1028" s="101"/>
      <c r="T1028" s="241"/>
      <c r="U1028" s="241"/>
      <c r="V1028" s="241"/>
      <c r="W1028" s="241"/>
      <c r="X1028" s="241"/>
      <c r="Y1028" s="241"/>
      <c r="Z1028" s="241"/>
    </row>
    <row r="1029" spans="3:26" ht="16.5">
      <c r="C1029" s="101"/>
      <c r="D1029" s="101"/>
      <c r="E1029" s="101"/>
      <c r="F1029" s="101"/>
      <c r="G1029" s="101"/>
      <c r="H1029" s="101"/>
      <c r="I1029" s="101"/>
      <c r="J1029" s="101"/>
      <c r="S1029" s="101"/>
      <c r="T1029" s="241"/>
      <c r="U1029" s="241"/>
      <c r="V1029" s="241"/>
      <c r="W1029" s="241"/>
      <c r="X1029" s="241"/>
      <c r="Y1029" s="241"/>
      <c r="Z1029" s="241"/>
    </row>
    <row r="1030" spans="3:26" ht="16.5">
      <c r="C1030" s="101"/>
      <c r="D1030" s="101"/>
      <c r="E1030" s="101"/>
      <c r="F1030" s="101"/>
      <c r="G1030" s="101"/>
      <c r="H1030" s="101"/>
      <c r="I1030" s="101"/>
      <c r="J1030" s="101"/>
      <c r="S1030" s="101"/>
      <c r="T1030" s="241"/>
      <c r="U1030" s="241"/>
      <c r="V1030" s="241"/>
      <c r="W1030" s="241"/>
      <c r="X1030" s="241"/>
      <c r="Y1030" s="241"/>
      <c r="Z1030" s="241"/>
    </row>
    <row r="1031" spans="3:26" ht="16.5">
      <c r="C1031" s="101"/>
      <c r="D1031" s="101"/>
      <c r="E1031" s="101"/>
      <c r="F1031" s="101"/>
      <c r="G1031" s="101"/>
      <c r="H1031" s="101"/>
      <c r="I1031" s="101"/>
      <c r="J1031" s="101"/>
      <c r="S1031" s="101"/>
      <c r="T1031" s="241"/>
      <c r="U1031" s="241"/>
      <c r="V1031" s="241"/>
      <c r="W1031" s="241"/>
      <c r="X1031" s="241"/>
      <c r="Y1031" s="241"/>
      <c r="Z1031" s="241"/>
    </row>
    <row r="1032" spans="3:26" ht="16.5">
      <c r="C1032" s="101"/>
      <c r="D1032" s="101"/>
      <c r="E1032" s="101"/>
      <c r="F1032" s="101"/>
      <c r="G1032" s="101"/>
      <c r="H1032" s="101"/>
      <c r="I1032" s="101"/>
      <c r="J1032" s="101"/>
      <c r="S1032" s="101"/>
      <c r="T1032" s="241"/>
      <c r="U1032" s="241"/>
      <c r="V1032" s="241"/>
      <c r="W1032" s="241"/>
      <c r="X1032" s="241"/>
      <c r="Y1032" s="241"/>
      <c r="Z1032" s="241"/>
    </row>
    <row r="1033" spans="3:26" ht="16.5">
      <c r="C1033" s="101"/>
      <c r="D1033" s="101"/>
      <c r="E1033" s="101"/>
      <c r="F1033" s="101"/>
      <c r="G1033" s="101"/>
      <c r="H1033" s="101"/>
      <c r="I1033" s="101"/>
      <c r="J1033" s="101"/>
      <c r="S1033" s="101"/>
      <c r="T1033" s="241"/>
      <c r="U1033" s="241"/>
      <c r="V1033" s="241"/>
      <c r="W1033" s="241"/>
      <c r="X1033" s="241"/>
      <c r="Y1033" s="241"/>
      <c r="Z1033" s="241"/>
    </row>
    <row r="1034" spans="3:26" ht="16.5">
      <c r="C1034" s="101"/>
      <c r="D1034" s="101"/>
      <c r="E1034" s="101"/>
      <c r="F1034" s="101"/>
      <c r="G1034" s="101"/>
      <c r="H1034" s="101"/>
      <c r="I1034" s="101"/>
      <c r="J1034" s="101"/>
      <c r="S1034" s="101"/>
      <c r="T1034" s="241"/>
      <c r="U1034" s="241"/>
      <c r="V1034" s="241"/>
      <c r="W1034" s="241"/>
      <c r="X1034" s="241"/>
      <c r="Y1034" s="241"/>
      <c r="Z1034" s="241"/>
    </row>
    <row r="1035" spans="3:26" ht="16.5">
      <c r="C1035" s="101"/>
      <c r="D1035" s="101"/>
      <c r="E1035" s="101"/>
      <c r="F1035" s="101"/>
      <c r="G1035" s="101"/>
      <c r="H1035" s="101"/>
      <c r="I1035" s="101"/>
      <c r="J1035" s="101"/>
      <c r="S1035" s="101"/>
      <c r="T1035" s="241"/>
      <c r="U1035" s="241"/>
      <c r="V1035" s="241"/>
      <c r="W1035" s="241"/>
      <c r="X1035" s="241"/>
      <c r="Y1035" s="241"/>
      <c r="Z1035" s="241"/>
    </row>
    <row r="1036" spans="3:26" ht="16.5">
      <c r="C1036" s="101"/>
      <c r="D1036" s="101"/>
      <c r="E1036" s="101"/>
      <c r="F1036" s="101"/>
      <c r="G1036" s="101"/>
      <c r="H1036" s="101"/>
      <c r="I1036" s="101"/>
      <c r="J1036" s="101"/>
      <c r="S1036" s="101"/>
      <c r="T1036" s="241"/>
      <c r="U1036" s="241"/>
      <c r="V1036" s="241"/>
      <c r="W1036" s="241"/>
      <c r="X1036" s="241"/>
      <c r="Y1036" s="241"/>
      <c r="Z1036" s="241"/>
    </row>
    <row r="1037" spans="3:26" ht="16.5">
      <c r="C1037" s="101"/>
      <c r="D1037" s="101"/>
      <c r="E1037" s="101"/>
      <c r="F1037" s="101"/>
      <c r="G1037" s="101"/>
      <c r="H1037" s="101"/>
      <c r="I1037" s="101"/>
      <c r="J1037" s="101"/>
      <c r="S1037" s="101"/>
      <c r="T1037" s="241"/>
      <c r="U1037" s="241"/>
      <c r="V1037" s="241"/>
      <c r="W1037" s="241"/>
      <c r="X1037" s="241"/>
      <c r="Y1037" s="241"/>
      <c r="Z1037" s="241"/>
    </row>
    <row r="1038" spans="3:26" ht="16.5">
      <c r="C1038" s="101"/>
      <c r="D1038" s="101"/>
      <c r="E1038" s="101"/>
      <c r="F1038" s="101"/>
      <c r="G1038" s="101"/>
      <c r="H1038" s="101"/>
      <c r="I1038" s="101"/>
      <c r="J1038" s="101"/>
      <c r="S1038" s="101"/>
      <c r="T1038" s="241"/>
      <c r="U1038" s="241"/>
      <c r="V1038" s="241"/>
      <c r="W1038" s="241"/>
      <c r="X1038" s="241"/>
      <c r="Y1038" s="241"/>
      <c r="Z1038" s="241"/>
    </row>
    <row r="1039" spans="3:26" ht="16.5">
      <c r="C1039" s="101"/>
      <c r="D1039" s="101"/>
      <c r="E1039" s="101"/>
      <c r="F1039" s="101"/>
      <c r="G1039" s="101"/>
      <c r="H1039" s="101"/>
      <c r="I1039" s="101"/>
      <c r="J1039" s="101"/>
      <c r="S1039" s="101"/>
      <c r="T1039" s="241"/>
      <c r="U1039" s="241"/>
      <c r="V1039" s="241"/>
      <c r="W1039" s="241"/>
      <c r="X1039" s="241"/>
      <c r="Y1039" s="241"/>
      <c r="Z1039" s="241"/>
    </row>
    <row r="1040" spans="3:26" ht="16.5">
      <c r="C1040" s="101"/>
      <c r="D1040" s="101"/>
      <c r="E1040" s="101"/>
      <c r="F1040" s="101"/>
      <c r="G1040" s="101"/>
      <c r="H1040" s="101"/>
      <c r="I1040" s="101"/>
      <c r="J1040" s="101"/>
      <c r="S1040" s="101"/>
      <c r="T1040" s="241"/>
      <c r="U1040" s="241"/>
      <c r="V1040" s="241"/>
      <c r="W1040" s="241"/>
      <c r="X1040" s="241"/>
      <c r="Y1040" s="241"/>
      <c r="Z1040" s="241"/>
    </row>
    <row r="1041" spans="3:26" ht="16.5">
      <c r="C1041" s="101"/>
      <c r="D1041" s="101"/>
      <c r="E1041" s="101"/>
      <c r="F1041" s="101"/>
      <c r="G1041" s="101"/>
      <c r="H1041" s="101"/>
      <c r="I1041" s="101"/>
      <c r="J1041" s="101"/>
      <c r="S1041" s="101"/>
      <c r="T1041" s="241"/>
      <c r="U1041" s="241"/>
      <c r="V1041" s="241"/>
      <c r="W1041" s="241"/>
      <c r="X1041" s="241"/>
      <c r="Y1041" s="241"/>
      <c r="Z1041" s="241"/>
    </row>
    <row r="1042" spans="3:26" ht="16.5">
      <c r="C1042" s="101"/>
      <c r="D1042" s="101"/>
      <c r="E1042" s="101"/>
      <c r="F1042" s="101"/>
      <c r="G1042" s="101"/>
      <c r="H1042" s="101"/>
      <c r="I1042" s="101"/>
      <c r="J1042" s="101"/>
      <c r="S1042" s="101"/>
      <c r="T1042" s="241"/>
      <c r="U1042" s="241"/>
      <c r="V1042" s="241"/>
      <c r="W1042" s="241"/>
      <c r="X1042" s="241"/>
      <c r="Y1042" s="241"/>
      <c r="Z1042" s="241"/>
    </row>
    <row r="1043" spans="3:26" ht="16.5">
      <c r="C1043" s="101"/>
      <c r="D1043" s="101"/>
      <c r="E1043" s="101"/>
      <c r="F1043" s="101"/>
      <c r="G1043" s="101"/>
      <c r="H1043" s="101"/>
      <c r="I1043" s="101"/>
      <c r="J1043" s="101"/>
      <c r="S1043" s="101"/>
      <c r="T1043" s="241"/>
      <c r="U1043" s="241"/>
      <c r="V1043" s="241"/>
      <c r="W1043" s="241"/>
      <c r="X1043" s="241"/>
      <c r="Y1043" s="241"/>
      <c r="Z1043" s="241"/>
    </row>
    <row r="1044" spans="3:26" ht="16.5">
      <c r="C1044" s="101"/>
      <c r="D1044" s="101"/>
      <c r="E1044" s="101"/>
      <c r="F1044" s="101"/>
      <c r="G1044" s="101"/>
      <c r="H1044" s="101"/>
      <c r="I1044" s="101"/>
      <c r="J1044" s="101"/>
      <c r="S1044" s="101"/>
      <c r="T1044" s="241"/>
      <c r="U1044" s="241"/>
      <c r="V1044" s="241"/>
      <c r="W1044" s="241"/>
      <c r="X1044" s="241"/>
      <c r="Y1044" s="241"/>
      <c r="Z1044" s="241"/>
    </row>
    <row r="1045" spans="3:26" ht="16.5">
      <c r="C1045" s="101"/>
      <c r="D1045" s="101"/>
      <c r="E1045" s="101"/>
      <c r="F1045" s="101"/>
      <c r="G1045" s="101"/>
      <c r="H1045" s="101"/>
      <c r="I1045" s="101"/>
      <c r="J1045" s="101"/>
      <c r="S1045" s="101"/>
      <c r="T1045" s="241"/>
      <c r="U1045" s="241"/>
      <c r="V1045" s="241"/>
      <c r="W1045" s="241"/>
      <c r="X1045" s="241"/>
      <c r="Y1045" s="241"/>
      <c r="Z1045" s="241"/>
    </row>
    <row r="1046" spans="3:26" ht="16.5">
      <c r="C1046" s="101"/>
      <c r="D1046" s="101"/>
      <c r="E1046" s="101"/>
      <c r="F1046" s="101"/>
      <c r="G1046" s="101"/>
      <c r="H1046" s="101"/>
      <c r="I1046" s="101"/>
      <c r="J1046" s="101"/>
      <c r="S1046" s="101"/>
      <c r="T1046" s="241"/>
      <c r="U1046" s="241"/>
      <c r="V1046" s="241"/>
      <c r="W1046" s="241"/>
      <c r="X1046" s="241"/>
      <c r="Y1046" s="241"/>
      <c r="Z1046" s="241"/>
    </row>
    <row r="1047" spans="3:26" ht="16.5">
      <c r="C1047" s="101"/>
      <c r="D1047" s="101"/>
      <c r="E1047" s="101"/>
      <c r="F1047" s="101"/>
      <c r="G1047" s="101"/>
      <c r="H1047" s="101"/>
      <c r="I1047" s="101"/>
      <c r="J1047" s="101"/>
      <c r="S1047" s="101"/>
      <c r="T1047" s="241"/>
      <c r="U1047" s="241"/>
      <c r="V1047" s="241"/>
      <c r="W1047" s="241"/>
      <c r="X1047" s="241"/>
      <c r="Y1047" s="241"/>
      <c r="Z1047" s="241"/>
    </row>
    <row r="1048" spans="3:26" ht="16.5">
      <c r="C1048" s="101"/>
      <c r="D1048" s="101"/>
      <c r="E1048" s="101"/>
      <c r="F1048" s="101"/>
      <c r="G1048" s="101"/>
      <c r="H1048" s="101"/>
      <c r="I1048" s="101"/>
      <c r="J1048" s="101"/>
      <c r="S1048" s="101"/>
      <c r="T1048" s="241"/>
      <c r="U1048" s="241"/>
      <c r="V1048" s="241"/>
      <c r="W1048" s="241"/>
      <c r="X1048" s="241"/>
      <c r="Y1048" s="241"/>
      <c r="Z1048" s="241"/>
    </row>
    <row r="1049" spans="3:26" ht="16.5">
      <c r="C1049" s="101"/>
      <c r="D1049" s="101"/>
      <c r="E1049" s="101"/>
      <c r="F1049" s="101"/>
      <c r="G1049" s="101"/>
      <c r="H1049" s="101"/>
      <c r="I1049" s="101"/>
      <c r="J1049" s="101"/>
      <c r="S1049" s="101"/>
      <c r="T1049" s="241"/>
      <c r="U1049" s="241"/>
      <c r="V1049" s="241"/>
      <c r="W1049" s="241"/>
      <c r="X1049" s="241"/>
      <c r="Y1049" s="241"/>
      <c r="Z1049" s="241"/>
    </row>
    <row r="1050" spans="3:26" ht="16.5">
      <c r="C1050" s="101"/>
      <c r="D1050" s="101"/>
      <c r="E1050" s="101"/>
      <c r="F1050" s="101"/>
      <c r="G1050" s="101"/>
      <c r="H1050" s="101"/>
      <c r="I1050" s="101"/>
      <c r="J1050" s="101"/>
      <c r="S1050" s="101"/>
      <c r="T1050" s="241"/>
      <c r="U1050" s="241"/>
      <c r="V1050" s="241"/>
      <c r="W1050" s="241"/>
      <c r="X1050" s="241"/>
      <c r="Y1050" s="241"/>
      <c r="Z1050" s="241"/>
    </row>
    <row r="1051" spans="3:26" ht="16.5">
      <c r="C1051" s="101"/>
      <c r="D1051" s="101"/>
      <c r="E1051" s="101"/>
      <c r="F1051" s="101"/>
      <c r="G1051" s="101"/>
      <c r="H1051" s="101"/>
      <c r="I1051" s="101"/>
      <c r="J1051" s="101"/>
      <c r="S1051" s="101"/>
      <c r="T1051" s="241"/>
      <c r="U1051" s="241"/>
      <c r="V1051" s="241"/>
      <c r="W1051" s="241"/>
      <c r="X1051" s="241"/>
      <c r="Y1051" s="241"/>
      <c r="Z1051" s="241"/>
    </row>
    <row r="1052" spans="3:26" ht="16.5">
      <c r="C1052" s="101"/>
      <c r="D1052" s="101"/>
      <c r="E1052" s="101"/>
      <c r="F1052" s="101"/>
      <c r="G1052" s="101"/>
      <c r="H1052" s="101"/>
      <c r="I1052" s="101"/>
      <c r="J1052" s="101"/>
      <c r="S1052" s="101"/>
      <c r="T1052" s="241"/>
      <c r="U1052" s="241"/>
      <c r="V1052" s="241"/>
      <c r="W1052" s="241"/>
      <c r="X1052" s="241"/>
      <c r="Y1052" s="241"/>
      <c r="Z1052" s="241"/>
    </row>
    <row r="1053" spans="3:26" ht="16.5">
      <c r="C1053" s="101"/>
      <c r="D1053" s="101"/>
      <c r="E1053" s="101"/>
      <c r="F1053" s="101"/>
      <c r="G1053" s="101"/>
      <c r="H1053" s="101"/>
      <c r="I1053" s="101"/>
      <c r="J1053" s="101"/>
      <c r="S1053" s="101"/>
      <c r="T1053" s="241"/>
      <c r="U1053" s="241"/>
      <c r="V1053" s="241"/>
      <c r="W1053" s="241"/>
      <c r="X1053" s="241"/>
      <c r="Y1053" s="241"/>
      <c r="Z1053" s="241"/>
    </row>
    <row r="1054" spans="3:26" ht="16.5">
      <c r="C1054" s="101"/>
      <c r="D1054" s="101"/>
      <c r="E1054" s="101"/>
      <c r="F1054" s="101"/>
      <c r="G1054" s="101"/>
      <c r="H1054" s="101"/>
      <c r="I1054" s="101"/>
      <c r="J1054" s="101"/>
      <c r="S1054" s="101"/>
      <c r="T1054" s="241"/>
      <c r="U1054" s="241"/>
      <c r="V1054" s="241"/>
      <c r="W1054" s="241"/>
      <c r="X1054" s="241"/>
      <c r="Y1054" s="241"/>
      <c r="Z1054" s="241"/>
    </row>
    <row r="1055" spans="3:26" ht="16.5">
      <c r="C1055" s="101"/>
      <c r="D1055" s="101"/>
      <c r="E1055" s="101"/>
      <c r="F1055" s="101"/>
      <c r="G1055" s="101"/>
      <c r="H1055" s="101"/>
      <c r="I1055" s="101"/>
      <c r="J1055" s="101"/>
      <c r="S1055" s="101"/>
      <c r="T1055" s="241"/>
      <c r="U1055" s="241"/>
      <c r="V1055" s="241"/>
      <c r="W1055" s="241"/>
      <c r="X1055" s="241"/>
      <c r="Y1055" s="241"/>
      <c r="Z1055" s="241"/>
    </row>
    <row r="1056" spans="3:26" ht="16.5">
      <c r="C1056" s="101"/>
      <c r="D1056" s="101"/>
      <c r="E1056" s="101"/>
      <c r="F1056" s="101"/>
      <c r="G1056" s="101"/>
      <c r="H1056" s="101"/>
      <c r="I1056" s="101"/>
      <c r="J1056" s="101"/>
      <c r="S1056" s="101"/>
      <c r="T1056" s="241"/>
      <c r="U1056" s="241"/>
      <c r="V1056" s="241"/>
      <c r="W1056" s="241"/>
      <c r="X1056" s="241"/>
      <c r="Y1056" s="241"/>
      <c r="Z1056" s="241"/>
    </row>
    <row r="1057" spans="3:26" ht="16.5">
      <c r="C1057" s="101"/>
      <c r="D1057" s="101"/>
      <c r="E1057" s="101"/>
      <c r="F1057" s="101"/>
      <c r="G1057" s="101"/>
      <c r="H1057" s="101"/>
      <c r="I1057" s="101"/>
      <c r="J1057" s="101"/>
      <c r="S1057" s="101"/>
      <c r="T1057" s="241"/>
      <c r="U1057" s="241"/>
      <c r="V1057" s="241"/>
      <c r="W1057" s="241"/>
      <c r="X1057" s="241"/>
      <c r="Y1057" s="241"/>
      <c r="Z1057" s="241"/>
    </row>
    <row r="1058" spans="3:26" ht="16.5">
      <c r="C1058" s="101"/>
      <c r="D1058" s="101"/>
      <c r="E1058" s="101"/>
      <c r="F1058" s="101"/>
      <c r="G1058" s="101"/>
      <c r="H1058" s="101"/>
      <c r="I1058" s="101"/>
      <c r="J1058" s="101"/>
      <c r="S1058" s="101"/>
      <c r="T1058" s="241"/>
      <c r="U1058" s="241"/>
      <c r="V1058" s="241"/>
      <c r="W1058" s="241"/>
      <c r="X1058" s="241"/>
      <c r="Y1058" s="241"/>
      <c r="Z1058" s="241"/>
    </row>
    <row r="1059" spans="3:26" ht="16.5">
      <c r="C1059" s="101"/>
      <c r="D1059" s="101"/>
      <c r="E1059" s="101"/>
      <c r="F1059" s="101"/>
      <c r="G1059" s="101"/>
      <c r="H1059" s="101"/>
      <c r="I1059" s="101"/>
      <c r="J1059" s="101"/>
      <c r="S1059" s="101"/>
      <c r="T1059" s="241"/>
      <c r="U1059" s="241"/>
      <c r="V1059" s="241"/>
      <c r="W1059" s="241"/>
      <c r="X1059" s="241"/>
      <c r="Y1059" s="241"/>
      <c r="Z1059" s="241"/>
    </row>
    <row r="1060" spans="3:26" ht="16.5">
      <c r="C1060" s="101"/>
      <c r="D1060" s="101"/>
      <c r="E1060" s="101"/>
      <c r="F1060" s="101"/>
      <c r="G1060" s="101"/>
      <c r="H1060" s="101"/>
      <c r="I1060" s="101"/>
      <c r="J1060" s="101"/>
      <c r="S1060" s="101"/>
      <c r="T1060" s="241"/>
      <c r="U1060" s="241"/>
      <c r="V1060" s="241"/>
      <c r="W1060" s="241"/>
      <c r="X1060" s="241"/>
      <c r="Y1060" s="241"/>
      <c r="Z1060" s="241"/>
    </row>
    <row r="1061" spans="3:26" ht="16.5">
      <c r="C1061" s="101"/>
      <c r="D1061" s="101"/>
      <c r="E1061" s="101"/>
      <c r="F1061" s="101"/>
      <c r="G1061" s="101"/>
      <c r="H1061" s="101"/>
      <c r="I1061" s="101"/>
      <c r="J1061" s="101"/>
      <c r="S1061" s="101"/>
      <c r="T1061" s="241"/>
      <c r="U1061" s="241"/>
      <c r="V1061" s="241"/>
      <c r="W1061" s="241"/>
      <c r="X1061" s="241"/>
      <c r="Y1061" s="241"/>
      <c r="Z1061" s="241"/>
    </row>
    <row r="1062" spans="3:26" ht="16.5">
      <c r="C1062" s="101"/>
      <c r="D1062" s="101"/>
      <c r="E1062" s="101"/>
      <c r="F1062" s="101"/>
      <c r="G1062" s="101"/>
      <c r="H1062" s="101"/>
      <c r="I1062" s="101"/>
      <c r="J1062" s="101"/>
      <c r="S1062" s="101"/>
      <c r="T1062" s="241"/>
      <c r="U1062" s="241"/>
      <c r="V1062" s="241"/>
      <c r="W1062" s="241"/>
      <c r="X1062" s="241"/>
      <c r="Y1062" s="241"/>
      <c r="Z1062" s="241"/>
    </row>
    <row r="1063" spans="3:26" ht="16.5">
      <c r="C1063" s="101"/>
      <c r="D1063" s="101"/>
      <c r="E1063" s="101"/>
      <c r="F1063" s="101"/>
      <c r="G1063" s="101"/>
      <c r="H1063" s="101"/>
      <c r="I1063" s="101"/>
      <c r="J1063" s="101"/>
      <c r="S1063" s="101"/>
      <c r="T1063" s="241"/>
      <c r="U1063" s="241"/>
      <c r="V1063" s="241"/>
      <c r="W1063" s="241"/>
      <c r="X1063" s="241"/>
      <c r="Y1063" s="241"/>
      <c r="Z1063" s="241"/>
    </row>
    <row r="1064" spans="3:26" ht="16.5">
      <c r="C1064" s="101"/>
      <c r="D1064" s="101"/>
      <c r="E1064" s="101"/>
      <c r="F1064" s="101"/>
      <c r="G1064" s="101"/>
      <c r="H1064" s="101"/>
      <c r="I1064" s="101"/>
      <c r="J1064" s="101"/>
      <c r="S1064" s="101"/>
      <c r="T1064" s="241"/>
      <c r="U1064" s="241"/>
      <c r="V1064" s="241"/>
      <c r="W1064" s="241"/>
      <c r="X1064" s="241"/>
      <c r="Y1064" s="241"/>
      <c r="Z1064" s="241"/>
    </row>
    <row r="1065" spans="3:26" ht="16.5">
      <c r="C1065" s="101"/>
      <c r="D1065" s="101"/>
      <c r="E1065" s="101"/>
      <c r="F1065" s="101"/>
      <c r="G1065" s="101"/>
      <c r="H1065" s="101"/>
      <c r="I1065" s="101"/>
      <c r="J1065" s="101"/>
      <c r="S1065" s="101"/>
      <c r="T1065" s="241"/>
      <c r="U1065" s="241"/>
      <c r="V1065" s="241"/>
      <c r="W1065" s="241"/>
      <c r="X1065" s="241"/>
      <c r="Y1065" s="241"/>
      <c r="Z1065" s="241"/>
    </row>
    <row r="1066" spans="3:26" ht="16.5">
      <c r="C1066" s="101"/>
      <c r="D1066" s="101"/>
      <c r="E1066" s="101"/>
      <c r="F1066" s="101"/>
      <c r="G1066" s="101"/>
      <c r="H1066" s="101"/>
      <c r="I1066" s="101"/>
      <c r="J1066" s="101"/>
      <c r="S1066" s="101"/>
      <c r="T1066" s="241"/>
      <c r="U1066" s="241"/>
      <c r="V1066" s="241"/>
      <c r="W1066" s="241"/>
      <c r="X1066" s="241"/>
      <c r="Y1066" s="241"/>
      <c r="Z1066" s="241"/>
    </row>
    <row r="1067" spans="3:26" ht="16.5">
      <c r="C1067" s="101"/>
      <c r="D1067" s="101"/>
      <c r="E1067" s="101"/>
      <c r="F1067" s="101"/>
      <c r="G1067" s="101"/>
      <c r="H1067" s="101"/>
      <c r="I1067" s="101"/>
      <c r="J1067" s="101"/>
      <c r="S1067" s="101"/>
      <c r="T1067" s="241"/>
      <c r="U1067" s="241"/>
      <c r="V1067" s="241"/>
      <c r="W1067" s="241"/>
      <c r="X1067" s="241"/>
      <c r="Y1067" s="241"/>
      <c r="Z1067" s="241"/>
    </row>
    <row r="1068" spans="3:26" ht="16.5">
      <c r="C1068" s="101"/>
      <c r="D1068" s="101"/>
      <c r="E1068" s="101"/>
      <c r="F1068" s="101"/>
      <c r="G1068" s="101"/>
      <c r="H1068" s="101"/>
      <c r="I1068" s="101"/>
      <c r="J1068" s="101"/>
      <c r="S1068" s="101"/>
      <c r="T1068" s="241"/>
      <c r="U1068" s="241"/>
      <c r="V1068" s="241"/>
      <c r="W1068" s="241"/>
      <c r="X1068" s="241"/>
      <c r="Y1068" s="241"/>
      <c r="Z1068" s="241"/>
    </row>
    <row r="1069" spans="3:26" ht="16.5">
      <c r="C1069" s="101"/>
      <c r="D1069" s="101"/>
      <c r="E1069" s="101"/>
      <c r="F1069" s="101"/>
      <c r="G1069" s="101"/>
      <c r="H1069" s="101"/>
      <c r="I1069" s="101"/>
      <c r="J1069" s="101"/>
      <c r="S1069" s="101"/>
      <c r="T1069" s="241"/>
      <c r="U1069" s="241"/>
      <c r="V1069" s="241"/>
      <c r="W1069" s="241"/>
      <c r="X1069" s="241"/>
      <c r="Y1069" s="241"/>
      <c r="Z1069" s="241"/>
    </row>
    <row r="1070" spans="3:26" ht="16.5">
      <c r="C1070" s="101"/>
      <c r="D1070" s="101"/>
      <c r="E1070" s="101"/>
      <c r="F1070" s="101"/>
      <c r="G1070" s="101"/>
      <c r="H1070" s="101"/>
      <c r="I1070" s="101"/>
      <c r="J1070" s="101"/>
      <c r="S1070" s="101"/>
      <c r="T1070" s="241"/>
      <c r="U1070" s="241"/>
      <c r="V1070" s="241"/>
      <c r="W1070" s="241"/>
      <c r="X1070" s="241"/>
      <c r="Y1070" s="241"/>
      <c r="Z1070" s="241"/>
    </row>
    <row r="1071" spans="3:26" ht="16.5">
      <c r="C1071" s="101"/>
      <c r="D1071" s="101"/>
      <c r="E1071" s="101"/>
      <c r="F1071" s="101"/>
      <c r="G1071" s="101"/>
      <c r="H1071" s="101"/>
      <c r="I1071" s="101"/>
      <c r="J1071" s="101"/>
      <c r="S1071" s="101"/>
      <c r="T1071" s="241"/>
      <c r="U1071" s="241"/>
      <c r="V1071" s="241"/>
      <c r="W1071" s="241"/>
      <c r="X1071" s="241"/>
      <c r="Y1071" s="241"/>
      <c r="Z1071" s="241"/>
    </row>
    <row r="1072" spans="3:26" ht="16.5">
      <c r="C1072" s="101"/>
      <c r="D1072" s="101"/>
      <c r="E1072" s="101"/>
      <c r="F1072" s="101"/>
      <c r="G1072" s="101"/>
      <c r="H1072" s="101"/>
      <c r="I1072" s="101"/>
      <c r="J1072" s="101"/>
      <c r="S1072" s="101"/>
      <c r="T1072" s="241"/>
      <c r="U1072" s="241"/>
      <c r="V1072" s="241"/>
      <c r="W1072" s="241"/>
      <c r="X1072" s="241"/>
      <c r="Y1072" s="241"/>
      <c r="Z1072" s="241"/>
    </row>
    <row r="1073" spans="3:26" ht="16.5">
      <c r="C1073" s="101"/>
      <c r="D1073" s="101"/>
      <c r="E1073" s="101"/>
      <c r="F1073" s="101"/>
      <c r="G1073" s="101"/>
      <c r="H1073" s="101"/>
      <c r="I1073" s="101"/>
      <c r="J1073" s="101"/>
      <c r="S1073" s="101"/>
      <c r="T1073" s="241"/>
      <c r="U1073" s="241"/>
      <c r="V1073" s="241"/>
      <c r="W1073" s="241"/>
      <c r="X1073" s="241"/>
      <c r="Y1073" s="241"/>
      <c r="Z1073" s="241"/>
    </row>
    <row r="1074" spans="3:26" ht="16.5">
      <c r="C1074" s="101"/>
      <c r="D1074" s="101"/>
      <c r="E1074" s="101"/>
      <c r="F1074" s="101"/>
      <c r="G1074" s="101"/>
      <c r="H1074" s="101"/>
      <c r="I1074" s="101"/>
      <c r="J1074" s="101"/>
      <c r="S1074" s="101"/>
      <c r="T1074" s="241"/>
      <c r="U1074" s="241"/>
      <c r="V1074" s="241"/>
      <c r="W1074" s="241"/>
      <c r="X1074" s="241"/>
      <c r="Y1074" s="241"/>
      <c r="Z1074" s="241"/>
    </row>
    <row r="1075" spans="3:26" ht="16.5">
      <c r="C1075" s="101"/>
      <c r="D1075" s="101"/>
      <c r="E1075" s="101"/>
      <c r="F1075" s="101"/>
      <c r="G1075" s="101"/>
      <c r="H1075" s="101"/>
      <c r="I1075" s="101"/>
      <c r="J1075" s="101"/>
      <c r="S1075" s="101"/>
      <c r="T1075" s="241"/>
      <c r="U1075" s="241"/>
      <c r="V1075" s="241"/>
      <c r="W1075" s="241"/>
      <c r="X1075" s="241"/>
      <c r="Y1075" s="241"/>
      <c r="Z1075" s="241"/>
    </row>
    <row r="1076" spans="3:26" ht="16.5">
      <c r="C1076" s="101"/>
      <c r="D1076" s="101"/>
      <c r="E1076" s="101"/>
      <c r="F1076" s="101"/>
      <c r="G1076" s="101"/>
      <c r="H1076" s="101"/>
      <c r="I1076" s="101"/>
      <c r="J1076" s="101"/>
      <c r="S1076" s="101"/>
      <c r="T1076" s="241"/>
      <c r="U1076" s="241"/>
      <c r="V1076" s="241"/>
      <c r="W1076" s="241"/>
      <c r="X1076" s="241"/>
      <c r="Y1076" s="241"/>
      <c r="Z1076" s="241"/>
    </row>
    <row r="1077" spans="3:26" ht="16.5">
      <c r="C1077" s="101"/>
      <c r="D1077" s="101"/>
      <c r="E1077" s="101"/>
      <c r="F1077" s="101"/>
      <c r="G1077" s="101"/>
      <c r="H1077" s="101"/>
      <c r="I1077" s="101"/>
      <c r="J1077" s="101"/>
      <c r="S1077" s="101"/>
      <c r="T1077" s="241"/>
      <c r="U1077" s="241"/>
      <c r="V1077" s="241"/>
      <c r="W1077" s="241"/>
      <c r="X1077" s="241"/>
      <c r="Y1077" s="241"/>
      <c r="Z1077" s="241"/>
    </row>
    <row r="1078" spans="3:26" ht="16.5">
      <c r="C1078" s="101"/>
      <c r="D1078" s="101"/>
      <c r="E1078" s="101"/>
      <c r="F1078" s="101"/>
      <c r="G1078" s="101"/>
      <c r="H1078" s="101"/>
      <c r="I1078" s="101"/>
      <c r="J1078" s="101"/>
      <c r="S1078" s="101"/>
      <c r="T1078" s="241"/>
      <c r="U1078" s="241"/>
      <c r="V1078" s="241"/>
      <c r="W1078" s="241"/>
      <c r="X1078" s="241"/>
      <c r="Y1078" s="241"/>
      <c r="Z1078" s="241"/>
    </row>
    <row r="1079" spans="3:26" ht="16.5">
      <c r="C1079" s="101"/>
      <c r="D1079" s="101"/>
      <c r="E1079" s="101"/>
      <c r="F1079" s="101"/>
      <c r="G1079" s="101"/>
      <c r="H1079" s="101"/>
      <c r="I1079" s="101"/>
      <c r="J1079" s="101"/>
      <c r="S1079" s="101"/>
      <c r="T1079" s="241"/>
      <c r="U1079" s="241"/>
      <c r="V1079" s="241"/>
      <c r="W1079" s="241"/>
      <c r="X1079" s="241"/>
      <c r="Y1079" s="241"/>
      <c r="Z1079" s="241"/>
    </row>
    <row r="1080" spans="3:26" ht="16.5">
      <c r="C1080" s="101"/>
      <c r="D1080" s="101"/>
      <c r="E1080" s="101"/>
      <c r="F1080" s="101"/>
      <c r="G1080" s="101"/>
      <c r="H1080" s="101"/>
      <c r="I1080" s="101"/>
      <c r="J1080" s="101"/>
      <c r="S1080" s="101"/>
      <c r="T1080" s="241"/>
      <c r="U1080" s="241"/>
      <c r="V1080" s="241"/>
      <c r="W1080" s="241"/>
      <c r="X1080" s="241"/>
      <c r="Y1080" s="241"/>
      <c r="Z1080" s="241"/>
    </row>
    <row r="1081" spans="3:26" ht="16.5">
      <c r="C1081" s="101"/>
      <c r="D1081" s="101"/>
      <c r="E1081" s="101"/>
      <c r="F1081" s="101"/>
      <c r="G1081" s="101"/>
      <c r="H1081" s="101"/>
      <c r="I1081" s="101"/>
      <c r="J1081" s="101"/>
      <c r="S1081" s="101"/>
      <c r="T1081" s="241"/>
      <c r="U1081" s="241"/>
      <c r="V1081" s="241"/>
      <c r="W1081" s="241"/>
      <c r="X1081" s="241"/>
      <c r="Y1081" s="241"/>
      <c r="Z1081" s="241"/>
    </row>
    <row r="1082" spans="3:26" ht="16.5">
      <c r="C1082" s="101"/>
      <c r="D1082" s="101"/>
      <c r="E1082" s="101"/>
      <c r="F1082" s="101"/>
      <c r="G1082" s="101"/>
      <c r="H1082" s="101"/>
      <c r="I1082" s="101"/>
      <c r="J1082" s="101"/>
      <c r="S1082" s="101"/>
      <c r="T1082" s="241"/>
      <c r="U1082" s="241"/>
      <c r="V1082" s="241"/>
      <c r="W1082" s="241"/>
      <c r="X1082" s="241"/>
      <c r="Y1082" s="241"/>
      <c r="Z1082" s="241"/>
    </row>
    <row r="1083" spans="3:26" ht="16.5">
      <c r="C1083" s="101"/>
      <c r="D1083" s="101"/>
      <c r="E1083" s="101"/>
      <c r="F1083" s="101"/>
      <c r="G1083" s="101"/>
      <c r="H1083" s="101"/>
      <c r="I1083" s="101"/>
      <c r="J1083" s="101"/>
      <c r="S1083" s="101"/>
      <c r="T1083" s="241"/>
      <c r="U1083" s="241"/>
      <c r="V1083" s="241"/>
      <c r="W1083" s="241"/>
      <c r="X1083" s="241"/>
      <c r="Y1083" s="241"/>
      <c r="Z1083" s="241"/>
    </row>
    <row r="1084" spans="3:26" ht="16.5">
      <c r="C1084" s="101"/>
      <c r="D1084" s="101"/>
      <c r="E1084" s="101"/>
      <c r="F1084" s="101"/>
      <c r="G1084" s="101"/>
      <c r="H1084" s="101"/>
      <c r="I1084" s="101"/>
      <c r="J1084" s="101"/>
      <c r="S1084" s="101"/>
      <c r="T1084" s="241"/>
      <c r="U1084" s="241"/>
      <c r="V1084" s="241"/>
      <c r="W1084" s="241"/>
      <c r="X1084" s="241"/>
      <c r="Y1084" s="241"/>
      <c r="Z1084" s="241"/>
    </row>
    <row r="1085" spans="3:26" ht="16.5">
      <c r="C1085" s="101"/>
      <c r="D1085" s="101"/>
      <c r="E1085" s="101"/>
      <c r="F1085" s="101"/>
      <c r="G1085" s="101"/>
      <c r="H1085" s="101"/>
      <c r="I1085" s="101"/>
      <c r="J1085" s="101"/>
      <c r="S1085" s="101"/>
      <c r="T1085" s="241"/>
      <c r="U1085" s="241"/>
      <c r="V1085" s="241"/>
      <c r="W1085" s="241"/>
      <c r="X1085" s="241"/>
      <c r="Y1085" s="241"/>
      <c r="Z1085" s="241"/>
    </row>
    <row r="1086" spans="3:26" ht="16.5">
      <c r="C1086" s="101"/>
      <c r="D1086" s="101"/>
      <c r="E1086" s="101"/>
      <c r="F1086" s="101"/>
      <c r="G1086" s="101"/>
      <c r="H1086" s="101"/>
      <c r="I1086" s="101"/>
      <c r="J1086" s="101"/>
      <c r="S1086" s="101"/>
      <c r="T1086" s="241"/>
      <c r="U1086" s="241"/>
      <c r="V1086" s="241"/>
      <c r="W1086" s="241"/>
      <c r="X1086" s="241"/>
      <c r="Y1086" s="241"/>
      <c r="Z1086" s="241"/>
    </row>
    <row r="1087" spans="3:26" ht="16.5">
      <c r="C1087" s="101"/>
      <c r="D1087" s="101"/>
      <c r="E1087" s="101"/>
      <c r="F1087" s="101"/>
      <c r="G1087" s="101"/>
      <c r="H1087" s="101"/>
      <c r="I1087" s="101"/>
      <c r="J1087" s="101"/>
      <c r="S1087" s="101"/>
      <c r="T1087" s="241"/>
      <c r="U1087" s="241"/>
      <c r="V1087" s="241"/>
      <c r="W1087" s="241"/>
      <c r="X1087" s="241"/>
      <c r="Y1087" s="241"/>
      <c r="Z1087" s="241"/>
    </row>
    <row r="1088" spans="3:26" ht="16.5">
      <c r="C1088" s="101"/>
      <c r="D1088" s="101"/>
      <c r="E1088" s="101"/>
      <c r="F1088" s="101"/>
      <c r="G1088" s="101"/>
      <c r="H1088" s="101"/>
      <c r="I1088" s="101"/>
      <c r="J1088" s="101"/>
      <c r="S1088" s="101"/>
      <c r="T1088" s="241"/>
      <c r="U1088" s="241"/>
      <c r="V1088" s="241"/>
      <c r="W1088" s="241"/>
      <c r="X1088" s="241"/>
      <c r="Y1088" s="241"/>
      <c r="Z1088" s="241"/>
    </row>
    <row r="1089" spans="3:26" ht="16.5">
      <c r="C1089" s="101"/>
      <c r="D1089" s="101"/>
      <c r="E1089" s="101"/>
      <c r="F1089" s="101"/>
      <c r="G1089" s="101"/>
      <c r="H1089" s="101"/>
      <c r="I1089" s="101"/>
      <c r="J1089" s="101"/>
      <c r="S1089" s="101"/>
      <c r="T1089" s="241"/>
      <c r="U1089" s="241"/>
      <c r="V1089" s="241"/>
      <c r="W1089" s="241"/>
      <c r="X1089" s="241"/>
      <c r="Y1089" s="241"/>
      <c r="Z1089" s="241"/>
    </row>
    <row r="1090" spans="3:26" ht="16.5">
      <c r="C1090" s="101"/>
      <c r="D1090" s="101"/>
      <c r="E1090" s="101"/>
      <c r="F1090" s="101"/>
      <c r="G1090" s="101"/>
      <c r="H1090" s="101"/>
      <c r="I1090" s="101"/>
      <c r="J1090" s="101"/>
      <c r="S1090" s="101"/>
      <c r="T1090" s="241"/>
      <c r="U1090" s="241"/>
      <c r="V1090" s="241"/>
      <c r="W1090" s="241"/>
      <c r="X1090" s="241"/>
      <c r="Y1090" s="241"/>
      <c r="Z1090" s="241"/>
    </row>
    <row r="1091" spans="3:26" ht="16.5">
      <c r="C1091" s="101"/>
      <c r="D1091" s="101"/>
      <c r="E1091" s="101"/>
      <c r="F1091" s="101"/>
      <c r="G1091" s="101"/>
      <c r="H1091" s="101"/>
      <c r="I1091" s="101"/>
      <c r="J1091" s="101"/>
      <c r="S1091" s="101"/>
      <c r="T1091" s="241"/>
      <c r="U1091" s="241"/>
      <c r="V1091" s="241"/>
      <c r="W1091" s="241"/>
      <c r="X1091" s="241"/>
      <c r="Y1091" s="241"/>
      <c r="Z1091" s="241"/>
    </row>
    <row r="1092" spans="3:26" ht="16.5">
      <c r="C1092" s="101"/>
      <c r="D1092" s="101"/>
      <c r="E1092" s="101"/>
      <c r="F1092" s="101"/>
      <c r="G1092" s="101"/>
      <c r="H1092" s="101"/>
      <c r="I1092" s="101"/>
      <c r="J1092" s="101"/>
      <c r="S1092" s="101"/>
      <c r="T1092" s="241"/>
      <c r="U1092" s="241"/>
      <c r="V1092" s="241"/>
      <c r="W1092" s="241"/>
      <c r="X1092" s="241"/>
      <c r="Y1092" s="241"/>
      <c r="Z1092" s="241"/>
    </row>
    <row r="1093" spans="3:26" ht="16.5">
      <c r="C1093" s="101"/>
      <c r="D1093" s="101"/>
      <c r="E1093" s="101"/>
      <c r="F1093" s="101"/>
      <c r="G1093" s="101"/>
      <c r="H1093" s="101"/>
      <c r="I1093" s="101"/>
      <c r="J1093" s="101"/>
      <c r="S1093" s="101"/>
      <c r="T1093" s="241"/>
      <c r="U1093" s="241"/>
      <c r="V1093" s="241"/>
      <c r="W1093" s="241"/>
      <c r="X1093" s="241"/>
      <c r="Y1093" s="241"/>
      <c r="Z1093" s="241"/>
    </row>
    <row r="1094" spans="3:26" ht="16.5">
      <c r="C1094" s="101"/>
      <c r="D1094" s="101"/>
      <c r="E1094" s="101"/>
      <c r="F1094" s="101"/>
      <c r="G1094" s="101"/>
      <c r="H1094" s="101"/>
      <c r="I1094" s="101"/>
      <c r="J1094" s="101"/>
      <c r="S1094" s="101"/>
      <c r="T1094" s="241"/>
      <c r="U1094" s="241"/>
      <c r="V1094" s="241"/>
      <c r="W1094" s="241"/>
      <c r="X1094" s="241"/>
      <c r="Y1094" s="241"/>
      <c r="Z1094" s="241"/>
    </row>
    <row r="1095" spans="3:26" ht="16.5">
      <c r="C1095" s="101"/>
      <c r="D1095" s="101"/>
      <c r="E1095" s="101"/>
      <c r="F1095" s="101"/>
      <c r="G1095" s="101"/>
      <c r="H1095" s="101"/>
      <c r="I1095" s="101"/>
      <c r="J1095" s="101"/>
      <c r="S1095" s="101"/>
      <c r="T1095" s="241"/>
      <c r="U1095" s="241"/>
      <c r="V1095" s="241"/>
      <c r="W1095" s="241"/>
      <c r="X1095" s="241"/>
      <c r="Y1095" s="241"/>
      <c r="Z1095" s="241"/>
    </row>
    <row r="1096" spans="3:26" ht="16.5">
      <c r="C1096" s="101"/>
      <c r="D1096" s="101"/>
      <c r="E1096" s="101"/>
      <c r="F1096" s="101"/>
      <c r="G1096" s="101"/>
      <c r="H1096" s="101"/>
      <c r="I1096" s="101"/>
      <c r="J1096" s="101"/>
      <c r="S1096" s="101"/>
      <c r="T1096" s="241"/>
      <c r="U1096" s="241"/>
      <c r="V1096" s="241"/>
      <c r="W1096" s="241"/>
      <c r="X1096" s="241"/>
      <c r="Y1096" s="241"/>
      <c r="Z1096" s="241"/>
    </row>
    <row r="1097" spans="3:26" ht="16.5">
      <c r="C1097" s="101"/>
      <c r="D1097" s="101"/>
      <c r="E1097" s="101"/>
      <c r="F1097" s="101"/>
      <c r="G1097" s="101"/>
      <c r="H1097" s="101"/>
      <c r="I1097" s="101"/>
      <c r="J1097" s="101"/>
      <c r="S1097" s="101"/>
      <c r="T1097" s="241"/>
      <c r="U1097" s="241"/>
      <c r="V1097" s="241"/>
      <c r="W1097" s="241"/>
      <c r="X1097" s="241"/>
      <c r="Y1097" s="241"/>
      <c r="Z1097" s="241"/>
    </row>
    <row r="1098" spans="3:26" ht="16.5">
      <c r="C1098" s="101"/>
      <c r="D1098" s="101"/>
      <c r="E1098" s="101"/>
      <c r="F1098" s="101"/>
      <c r="G1098" s="101"/>
      <c r="H1098" s="101"/>
      <c r="I1098" s="101"/>
      <c r="J1098" s="101"/>
      <c r="S1098" s="101"/>
      <c r="T1098" s="241"/>
      <c r="U1098" s="241"/>
      <c r="V1098" s="241"/>
      <c r="W1098" s="241"/>
      <c r="X1098" s="241"/>
      <c r="Y1098" s="241"/>
      <c r="Z1098" s="241"/>
    </row>
    <row r="1099" spans="3:26" ht="16.5">
      <c r="C1099" s="101"/>
      <c r="D1099" s="101"/>
      <c r="E1099" s="101"/>
      <c r="F1099" s="101"/>
      <c r="G1099" s="101"/>
      <c r="H1099" s="101"/>
      <c r="I1099" s="101"/>
      <c r="J1099" s="101"/>
      <c r="S1099" s="101"/>
      <c r="T1099" s="241"/>
      <c r="U1099" s="241"/>
      <c r="V1099" s="241"/>
      <c r="W1099" s="241"/>
      <c r="X1099" s="241"/>
      <c r="Y1099" s="241"/>
      <c r="Z1099" s="241"/>
    </row>
    <row r="1100" spans="3:26" ht="16.5">
      <c r="C1100" s="101"/>
      <c r="D1100" s="101"/>
      <c r="E1100" s="101"/>
      <c r="F1100" s="101"/>
      <c r="G1100" s="101"/>
      <c r="H1100" s="101"/>
      <c r="I1100" s="101"/>
      <c r="J1100" s="101"/>
      <c r="S1100" s="101"/>
      <c r="T1100" s="241"/>
      <c r="U1100" s="241"/>
      <c r="V1100" s="241"/>
      <c r="W1100" s="241"/>
      <c r="X1100" s="241"/>
      <c r="Y1100" s="241"/>
      <c r="Z1100" s="241"/>
    </row>
    <row r="1101" spans="3:26" ht="16.5">
      <c r="C1101" s="101"/>
      <c r="D1101" s="101"/>
      <c r="E1101" s="101"/>
      <c r="F1101" s="101"/>
      <c r="G1101" s="101"/>
      <c r="H1101" s="101"/>
      <c r="I1101" s="101"/>
      <c r="J1101" s="101"/>
      <c r="S1101" s="101"/>
      <c r="T1101" s="241"/>
      <c r="U1101" s="241"/>
      <c r="V1101" s="241"/>
      <c r="W1101" s="241"/>
      <c r="X1101" s="241"/>
      <c r="Y1101" s="241"/>
      <c r="Z1101" s="241"/>
    </row>
    <row r="1102" spans="3:26" ht="16.5">
      <c r="C1102" s="101"/>
      <c r="D1102" s="101"/>
      <c r="E1102" s="101"/>
      <c r="F1102" s="101"/>
      <c r="G1102" s="101"/>
      <c r="H1102" s="101"/>
      <c r="I1102" s="101"/>
      <c r="J1102" s="101"/>
      <c r="S1102" s="101"/>
      <c r="T1102" s="241"/>
      <c r="U1102" s="241"/>
      <c r="V1102" s="241"/>
      <c r="W1102" s="241"/>
      <c r="X1102" s="241"/>
      <c r="Y1102" s="241"/>
      <c r="Z1102" s="241"/>
    </row>
    <row r="1103" spans="3:26" ht="16.5">
      <c r="C1103" s="101"/>
      <c r="D1103" s="101"/>
      <c r="E1103" s="101"/>
      <c r="F1103" s="101"/>
      <c r="G1103" s="101"/>
      <c r="H1103" s="101"/>
      <c r="I1103" s="101"/>
      <c r="J1103" s="101"/>
      <c r="S1103" s="101"/>
      <c r="T1103" s="241"/>
      <c r="U1103" s="241"/>
      <c r="V1103" s="241"/>
      <c r="W1103" s="241"/>
      <c r="X1103" s="241"/>
      <c r="Y1103" s="241"/>
      <c r="Z1103" s="241"/>
    </row>
    <row r="1104" spans="3:26" ht="16.5">
      <c r="C1104" s="101"/>
      <c r="D1104" s="101"/>
      <c r="E1104" s="101"/>
      <c r="F1104" s="101"/>
      <c r="G1104" s="101"/>
      <c r="H1104" s="101"/>
      <c r="I1104" s="101"/>
      <c r="J1104" s="101"/>
      <c r="S1104" s="101"/>
      <c r="T1104" s="241"/>
      <c r="U1104" s="241"/>
      <c r="V1104" s="241"/>
      <c r="W1104" s="241"/>
      <c r="X1104" s="241"/>
      <c r="Y1104" s="241"/>
      <c r="Z1104" s="241"/>
    </row>
    <row r="1105" spans="3:26" ht="16.5">
      <c r="C1105" s="101"/>
      <c r="D1105" s="101"/>
      <c r="E1105" s="101"/>
      <c r="F1105" s="101"/>
      <c r="G1105" s="101"/>
      <c r="H1105" s="101"/>
      <c r="I1105" s="101"/>
      <c r="J1105" s="101"/>
      <c r="S1105" s="101"/>
      <c r="T1105" s="241"/>
      <c r="U1105" s="241"/>
      <c r="V1105" s="241"/>
      <c r="W1105" s="241"/>
      <c r="X1105" s="241"/>
      <c r="Y1105" s="241"/>
      <c r="Z1105" s="241"/>
    </row>
    <row r="1106" spans="3:26" ht="16.5">
      <c r="C1106" s="101"/>
      <c r="D1106" s="101"/>
      <c r="E1106" s="101"/>
      <c r="F1106" s="101"/>
      <c r="G1106" s="101"/>
      <c r="H1106" s="101"/>
      <c r="I1106" s="101"/>
      <c r="J1106" s="101"/>
      <c r="S1106" s="101"/>
      <c r="T1106" s="241"/>
      <c r="U1106" s="241"/>
      <c r="V1106" s="241"/>
      <c r="W1106" s="241"/>
      <c r="X1106" s="241"/>
      <c r="Y1106" s="241"/>
      <c r="Z1106" s="241"/>
    </row>
    <row r="1107" spans="3:26" ht="16.5">
      <c r="C1107" s="101"/>
      <c r="D1107" s="101"/>
      <c r="E1107" s="101"/>
      <c r="F1107" s="101"/>
      <c r="G1107" s="101"/>
      <c r="H1107" s="101"/>
      <c r="I1107" s="101"/>
      <c r="J1107" s="101"/>
      <c r="S1107" s="101"/>
      <c r="T1107" s="241"/>
      <c r="U1107" s="241"/>
      <c r="V1107" s="241"/>
      <c r="W1107" s="241"/>
      <c r="X1107" s="241"/>
      <c r="Y1107" s="241"/>
      <c r="Z1107" s="241"/>
    </row>
    <row r="1108" spans="3:26" ht="16.5">
      <c r="C1108" s="101"/>
      <c r="D1108" s="101"/>
      <c r="E1108" s="101"/>
      <c r="F1108" s="101"/>
      <c r="G1108" s="101"/>
      <c r="H1108" s="101"/>
      <c r="I1108" s="101"/>
      <c r="J1108" s="101"/>
      <c r="S1108" s="101"/>
      <c r="T1108" s="241"/>
      <c r="U1108" s="241"/>
      <c r="V1108" s="241"/>
      <c r="W1108" s="241"/>
      <c r="X1108" s="241"/>
      <c r="Y1108" s="241"/>
      <c r="Z1108" s="241"/>
    </row>
    <row r="1109" spans="3:26" ht="16.5">
      <c r="C1109" s="101"/>
      <c r="D1109" s="101"/>
      <c r="E1109" s="101"/>
      <c r="F1109" s="101"/>
      <c r="G1109" s="101"/>
      <c r="H1109" s="101"/>
      <c r="I1109" s="101"/>
      <c r="J1109" s="101"/>
      <c r="S1109" s="101"/>
      <c r="T1109" s="241"/>
      <c r="U1109" s="241"/>
      <c r="V1109" s="241"/>
      <c r="W1109" s="241"/>
      <c r="X1109" s="241"/>
      <c r="Y1109" s="241"/>
      <c r="Z1109" s="241"/>
    </row>
    <row r="1110" spans="3:26" ht="16.5">
      <c r="C1110" s="101"/>
      <c r="D1110" s="101"/>
      <c r="E1110" s="101"/>
      <c r="F1110" s="101"/>
      <c r="G1110" s="101"/>
      <c r="H1110" s="101"/>
      <c r="I1110" s="101"/>
      <c r="J1110" s="101"/>
      <c r="S1110" s="101"/>
      <c r="T1110" s="241"/>
      <c r="U1110" s="241"/>
      <c r="V1110" s="241"/>
      <c r="W1110" s="241"/>
      <c r="X1110" s="241"/>
      <c r="Y1110" s="241"/>
      <c r="Z1110" s="241"/>
    </row>
    <row r="1111" spans="3:26" ht="16.5">
      <c r="C1111" s="101"/>
      <c r="D1111" s="101"/>
      <c r="E1111" s="101"/>
      <c r="F1111" s="101"/>
      <c r="G1111" s="101"/>
      <c r="H1111" s="101"/>
      <c r="I1111" s="101"/>
      <c r="J1111" s="101"/>
      <c r="S1111" s="101"/>
      <c r="T1111" s="241"/>
      <c r="U1111" s="241"/>
      <c r="V1111" s="241"/>
      <c r="W1111" s="241"/>
      <c r="X1111" s="241"/>
      <c r="Y1111" s="241"/>
      <c r="Z1111" s="241"/>
    </row>
    <row r="1112" spans="3:26" ht="16.5">
      <c r="C1112" s="101"/>
      <c r="D1112" s="101"/>
      <c r="E1112" s="101"/>
      <c r="F1112" s="101"/>
      <c r="G1112" s="101"/>
      <c r="H1112" s="101"/>
      <c r="I1112" s="101"/>
      <c r="J1112" s="101"/>
      <c r="S1112" s="101"/>
      <c r="T1112" s="241"/>
      <c r="U1112" s="241"/>
      <c r="V1112" s="241"/>
      <c r="W1112" s="241"/>
      <c r="X1112" s="241"/>
      <c r="Y1112" s="241"/>
      <c r="Z1112" s="241"/>
    </row>
    <row r="1113" spans="3:26" ht="16.5">
      <c r="C1113" s="101"/>
      <c r="D1113" s="101"/>
      <c r="E1113" s="101"/>
      <c r="F1113" s="101"/>
      <c r="G1113" s="101"/>
      <c r="H1113" s="101"/>
      <c r="I1113" s="101"/>
      <c r="J1113" s="101"/>
      <c r="S1113" s="101"/>
      <c r="T1113" s="241"/>
      <c r="U1113" s="241"/>
      <c r="V1113" s="241"/>
      <c r="W1113" s="241"/>
      <c r="X1113" s="241"/>
      <c r="Y1113" s="241"/>
      <c r="Z1113" s="241"/>
    </row>
    <row r="1114" spans="3:26" ht="16.5">
      <c r="C1114" s="101"/>
      <c r="D1114" s="101"/>
      <c r="E1114" s="101"/>
      <c r="F1114" s="101"/>
      <c r="G1114" s="101"/>
      <c r="H1114" s="101"/>
      <c r="I1114" s="101"/>
      <c r="J1114" s="101"/>
      <c r="S1114" s="101"/>
      <c r="T1114" s="241"/>
      <c r="U1114" s="241"/>
      <c r="V1114" s="241"/>
      <c r="W1114" s="241"/>
      <c r="X1114" s="241"/>
      <c r="Y1114" s="241"/>
      <c r="Z1114" s="241"/>
    </row>
    <row r="1115" spans="3:26" ht="16.5">
      <c r="C1115" s="101"/>
      <c r="D1115" s="101"/>
      <c r="E1115" s="101"/>
      <c r="F1115" s="101"/>
      <c r="G1115" s="101"/>
      <c r="H1115" s="101"/>
      <c r="I1115" s="101"/>
      <c r="J1115" s="101"/>
      <c r="S1115" s="101"/>
      <c r="T1115" s="241"/>
      <c r="U1115" s="241"/>
      <c r="V1115" s="241"/>
      <c r="W1115" s="241"/>
      <c r="X1115" s="241"/>
      <c r="Y1115" s="241"/>
      <c r="Z1115" s="241"/>
    </row>
    <row r="1116" spans="3:26" ht="16.5">
      <c r="C1116" s="101"/>
      <c r="D1116" s="101"/>
      <c r="E1116" s="101"/>
      <c r="F1116" s="101"/>
      <c r="G1116" s="101"/>
      <c r="H1116" s="101"/>
      <c r="I1116" s="101"/>
      <c r="J1116" s="101"/>
      <c r="S1116" s="101"/>
      <c r="T1116" s="241"/>
      <c r="U1116" s="241"/>
      <c r="V1116" s="241"/>
      <c r="W1116" s="241"/>
      <c r="X1116" s="241"/>
      <c r="Y1116" s="241"/>
      <c r="Z1116" s="241"/>
    </row>
    <row r="1117" spans="3:26" ht="16.5">
      <c r="C1117" s="101"/>
      <c r="D1117" s="101"/>
      <c r="E1117" s="101"/>
      <c r="F1117" s="101"/>
      <c r="G1117" s="101"/>
      <c r="H1117" s="101"/>
      <c r="I1117" s="101"/>
      <c r="J1117" s="101"/>
      <c r="S1117" s="101"/>
      <c r="T1117" s="241"/>
      <c r="U1117" s="241"/>
      <c r="V1117" s="241"/>
      <c r="W1117" s="241"/>
      <c r="X1117" s="241"/>
      <c r="Y1117" s="241"/>
      <c r="Z1117" s="241"/>
    </row>
    <row r="1118" spans="3:26" ht="16.5">
      <c r="C1118" s="101"/>
      <c r="D1118" s="101"/>
      <c r="E1118" s="101"/>
      <c r="F1118" s="101"/>
      <c r="G1118" s="101"/>
      <c r="H1118" s="101"/>
      <c r="I1118" s="101"/>
      <c r="J1118" s="101"/>
      <c r="S1118" s="101"/>
      <c r="T1118" s="241"/>
      <c r="U1118" s="241"/>
      <c r="V1118" s="241"/>
      <c r="W1118" s="241"/>
      <c r="X1118" s="241"/>
      <c r="Y1118" s="241"/>
      <c r="Z1118" s="241"/>
    </row>
    <row r="1119" spans="3:26" ht="16.5">
      <c r="C1119" s="101"/>
      <c r="D1119" s="101"/>
      <c r="E1119" s="101"/>
      <c r="F1119" s="101"/>
      <c r="G1119" s="101"/>
      <c r="H1119" s="101"/>
      <c r="I1119" s="101"/>
      <c r="J1119" s="101"/>
      <c r="S1119" s="101"/>
      <c r="T1119" s="241"/>
      <c r="U1119" s="241"/>
      <c r="V1119" s="241"/>
      <c r="W1119" s="241"/>
      <c r="X1119" s="241"/>
      <c r="Y1119" s="241"/>
      <c r="Z1119" s="241"/>
    </row>
    <row r="1120" spans="3:26" ht="16.5">
      <c r="C1120" s="101"/>
      <c r="D1120" s="101"/>
      <c r="E1120" s="101"/>
      <c r="F1120" s="101"/>
      <c r="G1120" s="101"/>
      <c r="H1120" s="101"/>
      <c r="I1120" s="101"/>
      <c r="J1120" s="101"/>
      <c r="S1120" s="101"/>
      <c r="T1120" s="241"/>
      <c r="U1120" s="241"/>
      <c r="V1120" s="241"/>
      <c r="W1120" s="241"/>
      <c r="X1120" s="241"/>
      <c r="Y1120" s="241"/>
      <c r="Z1120" s="241"/>
    </row>
    <row r="1121" spans="3:26" ht="16.5">
      <c r="C1121" s="101"/>
      <c r="D1121" s="101"/>
      <c r="E1121" s="101"/>
      <c r="F1121" s="101"/>
      <c r="G1121" s="101"/>
      <c r="H1121" s="101"/>
      <c r="I1121" s="101"/>
      <c r="J1121" s="101"/>
      <c r="S1121" s="101"/>
      <c r="T1121" s="241"/>
      <c r="U1121" s="241"/>
      <c r="V1121" s="241"/>
      <c r="W1121" s="241"/>
      <c r="X1121" s="241"/>
      <c r="Y1121" s="241"/>
      <c r="Z1121" s="241"/>
    </row>
    <row r="1122" spans="3:26" ht="16.5">
      <c r="C1122" s="101"/>
      <c r="D1122" s="101"/>
      <c r="E1122" s="101"/>
      <c r="F1122" s="101"/>
      <c r="G1122" s="101"/>
      <c r="H1122" s="101"/>
      <c r="I1122" s="101"/>
      <c r="J1122" s="101"/>
      <c r="S1122" s="101"/>
      <c r="T1122" s="241"/>
      <c r="U1122" s="241"/>
      <c r="V1122" s="241"/>
      <c r="W1122" s="241"/>
      <c r="X1122" s="241"/>
      <c r="Y1122" s="241"/>
      <c r="Z1122" s="241"/>
    </row>
    <row r="1123" spans="3:26" ht="16.5">
      <c r="C1123" s="101"/>
      <c r="D1123" s="101"/>
      <c r="E1123" s="101"/>
      <c r="F1123" s="101"/>
      <c r="G1123" s="101"/>
      <c r="H1123" s="101"/>
      <c r="I1123" s="101"/>
      <c r="J1123" s="101"/>
      <c r="S1123" s="101"/>
      <c r="T1123" s="241"/>
      <c r="U1123" s="241"/>
      <c r="V1123" s="241"/>
      <c r="W1123" s="241"/>
      <c r="X1123" s="241"/>
      <c r="Y1123" s="241"/>
      <c r="Z1123" s="241"/>
    </row>
    <row r="1124" spans="3:26" ht="16.5">
      <c r="C1124" s="101"/>
      <c r="D1124" s="101"/>
      <c r="E1124" s="101"/>
      <c r="F1124" s="101"/>
      <c r="G1124" s="101"/>
      <c r="H1124" s="101"/>
      <c r="I1124" s="101"/>
      <c r="J1124" s="101"/>
      <c r="S1124" s="101"/>
      <c r="T1124" s="241"/>
      <c r="U1124" s="241"/>
      <c r="V1124" s="241"/>
      <c r="W1124" s="241"/>
      <c r="X1124" s="241"/>
      <c r="Y1124" s="241"/>
      <c r="Z1124" s="241"/>
    </row>
    <row r="1125" spans="3:26" ht="16.5">
      <c r="C1125" s="101"/>
      <c r="D1125" s="101"/>
      <c r="E1125" s="101"/>
      <c r="F1125" s="101"/>
      <c r="G1125" s="101"/>
      <c r="H1125" s="101"/>
      <c r="I1125" s="101"/>
      <c r="J1125" s="101"/>
      <c r="S1125" s="101"/>
      <c r="T1125" s="241"/>
      <c r="U1125" s="241"/>
      <c r="V1125" s="241"/>
      <c r="W1125" s="241"/>
      <c r="X1125" s="241"/>
      <c r="Y1125" s="241"/>
      <c r="Z1125" s="241"/>
    </row>
    <row r="1126" spans="3:26" ht="16.5">
      <c r="C1126" s="101"/>
      <c r="D1126" s="101"/>
      <c r="E1126" s="101"/>
      <c r="F1126" s="101"/>
      <c r="G1126" s="101"/>
      <c r="H1126" s="101"/>
      <c r="I1126" s="101"/>
      <c r="J1126" s="101"/>
      <c r="S1126" s="101"/>
      <c r="T1126" s="241"/>
      <c r="U1126" s="241"/>
      <c r="V1126" s="241"/>
      <c r="W1126" s="241"/>
      <c r="X1126" s="241"/>
      <c r="Y1126" s="241"/>
      <c r="Z1126" s="241"/>
    </row>
    <row r="1127" spans="3:26" ht="16.5">
      <c r="C1127" s="101"/>
      <c r="D1127" s="101"/>
      <c r="E1127" s="101"/>
      <c r="F1127" s="101"/>
      <c r="G1127" s="101"/>
      <c r="H1127" s="101"/>
      <c r="I1127" s="101"/>
      <c r="J1127" s="101"/>
      <c r="S1127" s="101"/>
      <c r="T1127" s="241"/>
      <c r="U1127" s="241"/>
      <c r="V1127" s="241"/>
      <c r="W1127" s="241"/>
      <c r="X1127" s="241"/>
      <c r="Y1127" s="241"/>
      <c r="Z1127" s="241"/>
    </row>
    <row r="1128" spans="3:26" ht="16.5">
      <c r="C1128" s="101"/>
      <c r="D1128" s="101"/>
      <c r="E1128" s="101"/>
      <c r="F1128" s="101"/>
      <c r="G1128" s="101"/>
      <c r="H1128" s="101"/>
      <c r="I1128" s="101"/>
      <c r="J1128" s="101"/>
      <c r="S1128" s="101"/>
      <c r="T1128" s="241"/>
      <c r="U1128" s="241"/>
      <c r="V1128" s="241"/>
      <c r="W1128" s="241"/>
      <c r="X1128" s="241"/>
      <c r="Y1128" s="241"/>
      <c r="Z1128" s="241"/>
    </row>
    <row r="1129" spans="3:26" ht="16.5">
      <c r="C1129" s="101"/>
      <c r="D1129" s="101"/>
      <c r="E1129" s="101"/>
      <c r="F1129" s="101"/>
      <c r="G1129" s="101"/>
      <c r="H1129" s="101"/>
      <c r="I1129" s="101"/>
      <c r="J1129" s="101"/>
      <c r="S1129" s="101"/>
      <c r="T1129" s="241"/>
      <c r="U1129" s="241"/>
      <c r="V1129" s="241"/>
      <c r="W1129" s="241"/>
      <c r="X1129" s="241"/>
      <c r="Y1129" s="241"/>
      <c r="Z1129" s="241"/>
    </row>
    <row r="1130" spans="3:26" ht="16.5">
      <c r="C1130" s="101"/>
      <c r="D1130" s="101"/>
      <c r="E1130" s="101"/>
      <c r="F1130" s="101"/>
      <c r="G1130" s="101"/>
      <c r="H1130" s="101"/>
      <c r="I1130" s="101"/>
      <c r="J1130" s="101"/>
      <c r="S1130" s="101"/>
      <c r="T1130" s="241"/>
      <c r="U1130" s="241"/>
      <c r="V1130" s="241"/>
      <c r="W1130" s="241"/>
      <c r="X1130" s="241"/>
      <c r="Y1130" s="241"/>
      <c r="Z1130" s="241"/>
    </row>
    <row r="1131" spans="3:26" ht="16.5">
      <c r="C1131" s="101"/>
      <c r="D1131" s="101"/>
      <c r="E1131" s="101"/>
      <c r="F1131" s="101"/>
      <c r="G1131" s="101"/>
      <c r="H1131" s="101"/>
      <c r="I1131" s="101"/>
      <c r="J1131" s="101"/>
      <c r="S1131" s="101"/>
      <c r="T1131" s="241"/>
      <c r="U1131" s="241"/>
      <c r="V1131" s="241"/>
      <c r="W1131" s="241"/>
      <c r="X1131" s="241"/>
      <c r="Y1131" s="241"/>
      <c r="Z1131" s="241"/>
    </row>
    <row r="1132" spans="3:26" ht="16.5">
      <c r="C1132" s="101"/>
      <c r="D1132" s="101"/>
      <c r="E1132" s="101"/>
      <c r="F1132" s="101"/>
      <c r="G1132" s="101"/>
      <c r="H1132" s="101"/>
      <c r="I1132" s="101"/>
      <c r="J1132" s="101"/>
      <c r="S1132" s="101"/>
      <c r="T1132" s="241"/>
      <c r="U1132" s="241"/>
      <c r="V1132" s="241"/>
      <c r="W1132" s="241"/>
      <c r="X1132" s="241"/>
      <c r="Y1132" s="241"/>
      <c r="Z1132" s="241"/>
    </row>
    <row r="1133" spans="3:26" ht="16.5">
      <c r="C1133" s="101"/>
      <c r="D1133" s="101"/>
      <c r="E1133" s="101"/>
      <c r="F1133" s="101"/>
      <c r="G1133" s="101"/>
      <c r="H1133" s="101"/>
      <c r="I1133" s="101"/>
      <c r="J1133" s="101"/>
      <c r="S1133" s="101"/>
      <c r="T1133" s="241"/>
      <c r="U1133" s="241"/>
      <c r="V1133" s="241"/>
      <c r="W1133" s="241"/>
      <c r="X1133" s="241"/>
      <c r="Y1133" s="241"/>
      <c r="Z1133" s="241"/>
    </row>
    <row r="1134" spans="3:26" ht="16.5">
      <c r="C1134" s="101"/>
      <c r="D1134" s="101"/>
      <c r="E1134" s="101"/>
      <c r="F1134" s="101"/>
      <c r="G1134" s="101"/>
      <c r="H1134" s="101"/>
      <c r="I1134" s="101"/>
      <c r="J1134" s="101"/>
      <c r="S1134" s="101"/>
      <c r="T1134" s="241"/>
      <c r="U1134" s="241"/>
      <c r="V1134" s="241"/>
      <c r="W1134" s="241"/>
      <c r="X1134" s="241"/>
      <c r="Y1134" s="241"/>
      <c r="Z1134" s="241"/>
    </row>
    <row r="1135" spans="3:26" ht="16.5">
      <c r="C1135" s="101"/>
      <c r="D1135" s="101"/>
      <c r="E1135" s="101"/>
      <c r="F1135" s="101"/>
      <c r="G1135" s="101"/>
      <c r="H1135" s="101"/>
      <c r="I1135" s="101"/>
      <c r="J1135" s="101"/>
      <c r="S1135" s="101"/>
      <c r="T1135" s="241"/>
      <c r="U1135" s="241"/>
      <c r="V1135" s="241"/>
      <c r="W1135" s="241"/>
      <c r="X1135" s="241"/>
      <c r="Y1135" s="241"/>
      <c r="Z1135" s="241"/>
    </row>
    <row r="1136" spans="3:26" ht="16.5">
      <c r="C1136" s="101"/>
      <c r="D1136" s="101"/>
      <c r="E1136" s="101"/>
      <c r="F1136" s="101"/>
      <c r="G1136" s="101"/>
      <c r="H1136" s="101"/>
      <c r="I1136" s="101"/>
      <c r="J1136" s="101"/>
      <c r="S1136" s="101"/>
      <c r="T1136" s="241"/>
      <c r="U1136" s="241"/>
      <c r="V1136" s="241"/>
      <c r="W1136" s="241"/>
      <c r="X1136" s="241"/>
      <c r="Y1136" s="241"/>
      <c r="Z1136" s="241"/>
    </row>
    <row r="1137" spans="3:26" ht="16.5">
      <c r="C1137" s="101"/>
      <c r="D1137" s="101"/>
      <c r="E1137" s="101"/>
      <c r="F1137" s="101"/>
      <c r="G1137" s="101"/>
      <c r="H1137" s="101"/>
      <c r="I1137" s="101"/>
      <c r="J1137" s="101"/>
      <c r="S1137" s="101"/>
      <c r="T1137" s="241"/>
      <c r="U1137" s="241"/>
      <c r="V1137" s="241"/>
      <c r="W1137" s="241"/>
      <c r="X1137" s="241"/>
      <c r="Y1137" s="241"/>
      <c r="Z1137" s="241"/>
    </row>
    <row r="1138" spans="3:26" ht="16.5">
      <c r="C1138" s="101"/>
      <c r="D1138" s="101"/>
      <c r="E1138" s="101"/>
      <c r="F1138" s="101"/>
      <c r="G1138" s="101"/>
      <c r="H1138" s="101"/>
      <c r="I1138" s="101"/>
      <c r="J1138" s="101"/>
      <c r="S1138" s="101"/>
      <c r="T1138" s="241"/>
      <c r="U1138" s="241"/>
      <c r="V1138" s="241"/>
      <c r="W1138" s="241"/>
      <c r="X1138" s="241"/>
      <c r="Y1138" s="241"/>
      <c r="Z1138" s="241"/>
    </row>
    <row r="1139" spans="3:26" ht="16.5">
      <c r="C1139" s="101"/>
      <c r="D1139" s="101"/>
      <c r="E1139" s="101"/>
      <c r="F1139" s="101"/>
      <c r="G1139" s="101"/>
      <c r="H1139" s="101"/>
      <c r="I1139" s="101"/>
      <c r="J1139" s="101"/>
      <c r="S1139" s="101"/>
      <c r="T1139" s="241"/>
      <c r="U1139" s="241"/>
      <c r="V1139" s="241"/>
      <c r="W1139" s="241"/>
      <c r="X1139" s="241"/>
      <c r="Y1139" s="241"/>
      <c r="Z1139" s="241"/>
    </row>
    <row r="1140" spans="3:26" ht="16.5">
      <c r="C1140" s="101"/>
      <c r="D1140" s="101"/>
      <c r="E1140" s="101"/>
      <c r="F1140" s="101"/>
      <c r="G1140" s="101"/>
      <c r="H1140" s="101"/>
      <c r="I1140" s="101"/>
      <c r="J1140" s="101"/>
      <c r="S1140" s="101"/>
      <c r="T1140" s="241"/>
      <c r="U1140" s="241"/>
      <c r="V1140" s="241"/>
      <c r="W1140" s="241"/>
      <c r="X1140" s="241"/>
      <c r="Y1140" s="241"/>
      <c r="Z1140" s="241"/>
    </row>
    <row r="1141" spans="3:26" ht="16.5">
      <c r="C1141" s="101"/>
      <c r="D1141" s="101"/>
      <c r="E1141" s="101"/>
      <c r="F1141" s="101"/>
      <c r="G1141" s="101"/>
      <c r="H1141" s="101"/>
      <c r="I1141" s="101"/>
      <c r="J1141" s="101"/>
      <c r="S1141" s="101"/>
      <c r="T1141" s="241"/>
      <c r="U1141" s="241"/>
      <c r="V1141" s="241"/>
      <c r="W1141" s="241"/>
      <c r="X1141" s="241"/>
      <c r="Y1141" s="241"/>
      <c r="Z1141" s="241"/>
    </row>
    <row r="1142" spans="3:26" ht="16.5">
      <c r="C1142" s="101"/>
      <c r="D1142" s="101"/>
      <c r="E1142" s="101"/>
      <c r="F1142" s="101"/>
      <c r="G1142" s="101"/>
      <c r="H1142" s="101"/>
      <c r="I1142" s="101"/>
      <c r="J1142" s="101"/>
      <c r="S1142" s="101"/>
      <c r="T1142" s="241"/>
      <c r="U1142" s="241"/>
      <c r="V1142" s="241"/>
      <c r="W1142" s="241"/>
      <c r="X1142" s="241"/>
      <c r="Y1142" s="241"/>
      <c r="Z1142" s="241"/>
    </row>
    <row r="1143" spans="3:26" ht="16.5">
      <c r="C1143" s="101"/>
      <c r="D1143" s="101"/>
      <c r="E1143" s="101"/>
      <c r="F1143" s="101"/>
      <c r="G1143" s="101"/>
      <c r="H1143" s="101"/>
      <c r="I1143" s="101"/>
      <c r="J1143" s="101"/>
      <c r="S1143" s="101"/>
      <c r="T1143" s="241"/>
      <c r="U1143" s="241"/>
      <c r="V1143" s="241"/>
      <c r="W1143" s="241"/>
      <c r="X1143" s="241"/>
      <c r="Y1143" s="241"/>
      <c r="Z1143" s="241"/>
    </row>
    <row r="1144" spans="3:26" ht="16.5">
      <c r="C1144" s="101"/>
      <c r="D1144" s="101"/>
      <c r="E1144" s="101"/>
      <c r="F1144" s="101"/>
      <c r="G1144" s="101"/>
      <c r="H1144" s="101"/>
      <c r="I1144" s="101"/>
      <c r="J1144" s="101"/>
      <c r="S1144" s="101"/>
      <c r="T1144" s="241"/>
      <c r="U1144" s="241"/>
      <c r="V1144" s="241"/>
      <c r="W1144" s="241"/>
      <c r="X1144" s="241"/>
      <c r="Y1144" s="241"/>
      <c r="Z1144" s="241"/>
    </row>
    <row r="1145" spans="3:26" ht="16.5">
      <c r="C1145" s="101"/>
      <c r="D1145" s="101"/>
      <c r="E1145" s="101"/>
      <c r="F1145" s="101"/>
      <c r="G1145" s="101"/>
      <c r="H1145" s="101"/>
      <c r="I1145" s="101"/>
      <c r="J1145" s="101"/>
      <c r="S1145" s="101"/>
      <c r="T1145" s="241"/>
      <c r="U1145" s="241"/>
      <c r="V1145" s="241"/>
      <c r="W1145" s="241"/>
      <c r="X1145" s="241"/>
      <c r="Y1145" s="241"/>
      <c r="Z1145" s="241"/>
    </row>
    <row r="1146" spans="3:26" ht="16.5">
      <c r="C1146" s="101"/>
      <c r="D1146" s="101"/>
      <c r="E1146" s="101"/>
      <c r="F1146" s="101"/>
      <c r="G1146" s="101"/>
      <c r="H1146" s="101"/>
      <c r="I1146" s="101"/>
      <c r="J1146" s="101"/>
      <c r="S1146" s="101"/>
      <c r="T1146" s="241"/>
      <c r="U1146" s="241"/>
      <c r="V1146" s="241"/>
      <c r="W1146" s="241"/>
      <c r="X1146" s="241"/>
      <c r="Y1146" s="241"/>
      <c r="Z1146" s="241"/>
    </row>
    <row r="1147" spans="3:26" ht="16.5">
      <c r="C1147" s="101"/>
      <c r="D1147" s="101"/>
      <c r="E1147" s="101"/>
      <c r="F1147" s="101"/>
      <c r="G1147" s="101"/>
      <c r="H1147" s="101"/>
      <c r="I1147" s="101"/>
      <c r="J1147" s="101"/>
      <c r="S1147" s="101"/>
      <c r="T1147" s="241"/>
      <c r="U1147" s="241"/>
      <c r="V1147" s="241"/>
      <c r="W1147" s="241"/>
      <c r="X1147" s="241"/>
      <c r="Y1147" s="241"/>
      <c r="Z1147" s="241"/>
    </row>
    <row r="1148" spans="3:26" ht="16.5">
      <c r="C1148" s="101"/>
      <c r="D1148" s="101"/>
      <c r="E1148" s="101"/>
      <c r="F1148" s="101"/>
      <c r="G1148" s="101"/>
      <c r="H1148" s="101"/>
      <c r="I1148" s="101"/>
      <c r="J1148" s="101"/>
      <c r="S1148" s="101"/>
      <c r="T1148" s="241"/>
      <c r="U1148" s="241"/>
      <c r="V1148" s="241"/>
      <c r="W1148" s="241"/>
      <c r="X1148" s="241"/>
      <c r="Y1148" s="241"/>
      <c r="Z1148" s="241"/>
    </row>
    <row r="1149" spans="3:26" ht="16.5">
      <c r="C1149" s="101"/>
      <c r="D1149" s="101"/>
      <c r="E1149" s="101"/>
      <c r="F1149" s="101"/>
      <c r="G1149" s="101"/>
      <c r="H1149" s="101"/>
      <c r="I1149" s="101"/>
      <c r="J1149" s="101"/>
      <c r="S1149" s="101"/>
      <c r="T1149" s="241"/>
      <c r="U1149" s="241"/>
      <c r="V1149" s="241"/>
      <c r="W1149" s="241"/>
      <c r="X1149" s="241"/>
      <c r="Y1149" s="241"/>
      <c r="Z1149" s="241"/>
    </row>
    <row r="1150" spans="3:26" ht="16.5">
      <c r="C1150" s="101"/>
      <c r="D1150" s="101"/>
      <c r="E1150" s="101"/>
      <c r="F1150" s="101"/>
      <c r="G1150" s="101"/>
      <c r="H1150" s="101"/>
      <c r="I1150" s="101"/>
      <c r="J1150" s="101"/>
      <c r="S1150" s="101"/>
      <c r="T1150" s="241"/>
      <c r="U1150" s="241"/>
      <c r="V1150" s="241"/>
      <c r="W1150" s="241"/>
      <c r="X1150" s="241"/>
      <c r="Y1150" s="241"/>
      <c r="Z1150" s="241"/>
    </row>
    <row r="1151" spans="3:26" ht="16.5">
      <c r="C1151" s="101"/>
      <c r="D1151" s="101"/>
      <c r="E1151" s="101"/>
      <c r="F1151" s="101"/>
      <c r="G1151" s="101"/>
      <c r="H1151" s="101"/>
      <c r="I1151" s="101"/>
      <c r="J1151" s="101"/>
      <c r="S1151" s="101"/>
      <c r="T1151" s="241"/>
      <c r="U1151" s="241"/>
      <c r="V1151" s="241"/>
      <c r="W1151" s="241"/>
      <c r="X1151" s="241"/>
      <c r="Y1151" s="241"/>
      <c r="Z1151" s="241"/>
    </row>
    <row r="1152" spans="3:26" ht="16.5">
      <c r="C1152" s="101"/>
      <c r="D1152" s="101"/>
      <c r="E1152" s="101"/>
      <c r="F1152" s="101"/>
      <c r="G1152" s="101"/>
      <c r="H1152" s="101"/>
      <c r="I1152" s="101"/>
      <c r="J1152" s="101"/>
      <c r="S1152" s="101"/>
      <c r="T1152" s="241"/>
      <c r="U1152" s="241"/>
      <c r="V1152" s="241"/>
      <c r="W1152" s="241"/>
      <c r="X1152" s="241"/>
      <c r="Y1152" s="241"/>
      <c r="Z1152" s="241"/>
    </row>
    <row r="1153" spans="3:26" ht="16.5">
      <c r="C1153" s="101"/>
      <c r="D1153" s="101"/>
      <c r="E1153" s="101"/>
      <c r="F1153" s="101"/>
      <c r="G1153" s="101"/>
      <c r="H1153" s="101"/>
      <c r="I1153" s="101"/>
      <c r="J1153" s="101"/>
      <c r="S1153" s="101"/>
      <c r="T1153" s="241"/>
      <c r="U1153" s="241"/>
      <c r="V1153" s="241"/>
      <c r="W1153" s="241"/>
      <c r="X1153" s="241"/>
      <c r="Y1153" s="241"/>
      <c r="Z1153" s="241"/>
    </row>
    <row r="1154" spans="3:26" ht="16.5">
      <c r="C1154" s="101"/>
      <c r="D1154" s="101"/>
      <c r="E1154" s="101"/>
      <c r="F1154" s="101"/>
      <c r="G1154" s="101"/>
      <c r="H1154" s="101"/>
      <c r="I1154" s="101"/>
      <c r="J1154" s="101"/>
      <c r="S1154" s="101"/>
      <c r="T1154" s="241"/>
      <c r="U1154" s="241"/>
      <c r="V1154" s="241"/>
      <c r="W1154" s="241"/>
      <c r="X1154" s="241"/>
      <c r="Y1154" s="241"/>
      <c r="Z1154" s="241"/>
    </row>
    <row r="1155" spans="3:26" ht="16.5">
      <c r="C1155" s="101"/>
      <c r="D1155" s="101"/>
      <c r="E1155" s="101"/>
      <c r="F1155" s="101"/>
      <c r="G1155" s="101"/>
      <c r="H1155" s="101"/>
      <c r="I1155" s="101"/>
      <c r="J1155" s="101"/>
      <c r="S1155" s="101"/>
      <c r="T1155" s="241"/>
      <c r="U1155" s="241"/>
      <c r="V1155" s="241"/>
      <c r="W1155" s="241"/>
      <c r="X1155" s="241"/>
      <c r="Y1155" s="241"/>
      <c r="Z1155" s="241"/>
    </row>
    <row r="1156" spans="3:26" ht="16.5">
      <c r="C1156" s="101"/>
      <c r="D1156" s="101"/>
      <c r="E1156" s="101"/>
      <c r="F1156" s="101"/>
      <c r="G1156" s="101"/>
      <c r="H1156" s="101"/>
      <c r="I1156" s="101"/>
      <c r="J1156" s="101"/>
      <c r="S1156" s="101"/>
      <c r="T1156" s="241"/>
      <c r="U1156" s="241"/>
      <c r="V1156" s="241"/>
      <c r="W1156" s="241"/>
      <c r="X1156" s="241"/>
      <c r="Y1156" s="241"/>
      <c r="Z1156" s="241"/>
    </row>
    <row r="1157" spans="3:26" ht="16.5">
      <c r="C1157" s="101"/>
      <c r="D1157" s="101"/>
      <c r="E1157" s="101"/>
      <c r="F1157" s="101"/>
      <c r="G1157" s="101"/>
      <c r="H1157" s="101"/>
      <c r="I1157" s="101"/>
      <c r="J1157" s="101"/>
      <c r="S1157" s="101"/>
      <c r="T1157" s="241"/>
      <c r="U1157" s="241"/>
      <c r="V1157" s="241"/>
      <c r="W1157" s="241"/>
      <c r="X1157" s="241"/>
      <c r="Y1157" s="241"/>
      <c r="Z1157" s="241"/>
    </row>
    <row r="1158" spans="3:26" ht="16.5">
      <c r="C1158" s="101"/>
      <c r="D1158" s="101"/>
      <c r="E1158" s="101"/>
      <c r="F1158" s="101"/>
      <c r="G1158" s="101"/>
      <c r="H1158" s="101"/>
      <c r="I1158" s="101"/>
      <c r="J1158" s="101"/>
      <c r="S1158" s="101"/>
      <c r="T1158" s="241"/>
      <c r="U1158" s="241"/>
      <c r="V1158" s="241"/>
      <c r="W1158" s="241"/>
      <c r="X1158" s="241"/>
      <c r="Y1158" s="241"/>
      <c r="Z1158" s="241"/>
    </row>
    <row r="1159" spans="3:26" ht="16.5">
      <c r="C1159" s="101"/>
      <c r="D1159" s="101"/>
      <c r="E1159" s="101"/>
      <c r="F1159" s="101"/>
      <c r="G1159" s="101"/>
      <c r="H1159" s="101"/>
      <c r="I1159" s="101"/>
      <c r="J1159" s="101"/>
      <c r="S1159" s="101"/>
      <c r="T1159" s="241"/>
      <c r="U1159" s="241"/>
      <c r="V1159" s="241"/>
      <c r="W1159" s="241"/>
      <c r="X1159" s="241"/>
      <c r="Y1159" s="241"/>
      <c r="Z1159" s="241"/>
    </row>
    <row r="1160" spans="3:26" ht="16.5">
      <c r="C1160" s="101"/>
      <c r="D1160" s="101"/>
      <c r="E1160" s="101"/>
      <c r="F1160" s="101"/>
      <c r="G1160" s="101"/>
      <c r="H1160" s="101"/>
      <c r="I1160" s="101"/>
      <c r="J1160" s="101"/>
      <c r="S1160" s="101"/>
      <c r="T1160" s="241"/>
      <c r="U1160" s="241"/>
      <c r="V1160" s="241"/>
      <c r="W1160" s="241"/>
      <c r="X1160" s="241"/>
      <c r="Y1160" s="241"/>
      <c r="Z1160" s="241"/>
    </row>
    <row r="1161" spans="3:26" ht="16.5">
      <c r="C1161" s="101"/>
      <c r="D1161" s="101"/>
      <c r="E1161" s="101"/>
      <c r="F1161" s="101"/>
      <c r="G1161" s="101"/>
      <c r="H1161" s="101"/>
      <c r="I1161" s="101"/>
      <c r="J1161" s="101"/>
      <c r="S1161" s="101"/>
      <c r="T1161" s="241"/>
      <c r="U1161" s="241"/>
      <c r="V1161" s="241"/>
      <c r="W1161" s="241"/>
      <c r="X1161" s="241"/>
      <c r="Y1161" s="241"/>
      <c r="Z1161" s="241"/>
    </row>
    <row r="1162" spans="3:26" ht="16.5">
      <c r="C1162" s="101"/>
      <c r="D1162" s="101"/>
      <c r="E1162" s="101"/>
      <c r="F1162" s="101"/>
      <c r="G1162" s="101"/>
      <c r="H1162" s="101"/>
      <c r="I1162" s="101"/>
      <c r="J1162" s="101"/>
      <c r="S1162" s="101"/>
      <c r="T1162" s="241"/>
      <c r="U1162" s="241"/>
      <c r="V1162" s="241"/>
      <c r="W1162" s="241"/>
      <c r="X1162" s="241"/>
      <c r="Y1162" s="241"/>
      <c r="Z1162" s="241"/>
    </row>
    <row r="1163" spans="3:26" ht="16.5">
      <c r="C1163" s="101"/>
      <c r="D1163" s="101"/>
      <c r="E1163" s="101"/>
      <c r="F1163" s="101"/>
      <c r="G1163" s="101"/>
      <c r="H1163" s="101"/>
      <c r="I1163" s="101"/>
      <c r="J1163" s="101"/>
      <c r="S1163" s="101"/>
      <c r="T1163" s="241"/>
      <c r="U1163" s="241"/>
      <c r="V1163" s="241"/>
      <c r="W1163" s="241"/>
      <c r="X1163" s="241"/>
      <c r="Y1163" s="241"/>
      <c r="Z1163" s="241"/>
    </row>
    <row r="1164" spans="3:26" ht="16.5">
      <c r="C1164" s="101"/>
      <c r="D1164" s="101"/>
      <c r="E1164" s="101"/>
      <c r="F1164" s="101"/>
      <c r="G1164" s="101"/>
      <c r="H1164" s="101"/>
      <c r="I1164" s="101"/>
      <c r="J1164" s="101"/>
      <c r="S1164" s="101"/>
      <c r="T1164" s="241"/>
      <c r="U1164" s="241"/>
      <c r="V1164" s="241"/>
      <c r="W1164" s="241"/>
      <c r="X1164" s="241"/>
      <c r="Y1164" s="241"/>
      <c r="Z1164" s="241"/>
    </row>
    <row r="1165" spans="3:26" ht="16.5">
      <c r="C1165" s="101"/>
      <c r="D1165" s="101"/>
      <c r="E1165" s="101"/>
      <c r="F1165" s="101"/>
      <c r="G1165" s="101"/>
      <c r="H1165" s="101"/>
      <c r="I1165" s="101"/>
      <c r="J1165" s="101"/>
      <c r="S1165" s="101"/>
      <c r="T1165" s="241"/>
      <c r="U1165" s="241"/>
      <c r="V1165" s="241"/>
      <c r="W1165" s="241"/>
      <c r="X1165" s="241"/>
      <c r="Y1165" s="241"/>
      <c r="Z1165" s="241"/>
    </row>
    <row r="1166" spans="3:26" ht="16.5">
      <c r="C1166" s="101"/>
      <c r="D1166" s="101"/>
      <c r="E1166" s="101"/>
      <c r="F1166" s="101"/>
      <c r="G1166" s="101"/>
      <c r="H1166" s="101"/>
      <c r="I1166" s="101"/>
      <c r="J1166" s="101"/>
      <c r="S1166" s="101"/>
      <c r="T1166" s="241"/>
      <c r="U1166" s="241"/>
      <c r="V1166" s="241"/>
      <c r="W1166" s="241"/>
      <c r="X1166" s="241"/>
      <c r="Y1166" s="241"/>
      <c r="Z1166" s="241"/>
    </row>
    <row r="1167" spans="3:26" ht="16.5">
      <c r="C1167" s="101"/>
      <c r="D1167" s="101"/>
      <c r="E1167" s="101"/>
      <c r="F1167" s="101"/>
      <c r="G1167" s="101"/>
      <c r="H1167" s="101"/>
      <c r="I1167" s="101"/>
      <c r="J1167" s="101"/>
      <c r="S1167" s="101"/>
      <c r="T1167" s="241"/>
      <c r="U1167" s="241"/>
      <c r="V1167" s="241"/>
      <c r="W1167" s="241"/>
      <c r="X1167" s="241"/>
      <c r="Y1167" s="241"/>
      <c r="Z1167" s="241"/>
    </row>
    <row r="1168" spans="3:26" ht="16.5">
      <c r="C1168" s="101"/>
      <c r="D1168" s="101"/>
      <c r="E1168" s="101"/>
      <c r="F1168" s="101"/>
      <c r="G1168" s="101"/>
      <c r="H1168" s="101"/>
      <c r="I1168" s="101"/>
      <c r="J1168" s="101"/>
      <c r="S1168" s="101"/>
      <c r="T1168" s="241"/>
      <c r="U1168" s="241"/>
      <c r="V1168" s="241"/>
      <c r="W1168" s="241"/>
      <c r="X1168" s="241"/>
      <c r="Y1168" s="241"/>
      <c r="Z1168" s="241"/>
    </row>
    <row r="1169" spans="3:26" ht="16.5">
      <c r="C1169" s="101"/>
      <c r="D1169" s="101"/>
      <c r="E1169" s="101"/>
      <c r="F1169" s="101"/>
      <c r="G1169" s="101"/>
      <c r="H1169" s="101"/>
      <c r="I1169" s="101"/>
      <c r="J1169" s="101"/>
      <c r="S1169" s="101"/>
      <c r="T1169" s="241"/>
      <c r="U1169" s="241"/>
      <c r="V1169" s="241"/>
      <c r="W1169" s="241"/>
      <c r="X1169" s="241"/>
      <c r="Y1169" s="241"/>
      <c r="Z1169" s="241"/>
    </row>
    <row r="1170" spans="3:26" ht="16.5">
      <c r="C1170" s="101"/>
      <c r="D1170" s="101"/>
      <c r="E1170" s="101"/>
      <c r="F1170" s="101"/>
      <c r="G1170" s="101"/>
      <c r="H1170" s="101"/>
      <c r="I1170" s="101"/>
      <c r="J1170" s="101"/>
      <c r="S1170" s="101"/>
      <c r="T1170" s="241"/>
      <c r="U1170" s="241"/>
      <c r="V1170" s="241"/>
      <c r="W1170" s="241"/>
      <c r="X1170" s="241"/>
      <c r="Y1170" s="241"/>
      <c r="Z1170" s="241"/>
    </row>
    <row r="1171" spans="3:26" ht="16.5">
      <c r="C1171" s="101"/>
      <c r="D1171" s="101"/>
      <c r="E1171" s="101"/>
      <c r="F1171" s="101"/>
      <c r="G1171" s="101"/>
      <c r="H1171" s="101"/>
      <c r="I1171" s="101"/>
      <c r="J1171" s="101"/>
      <c r="S1171" s="101"/>
      <c r="T1171" s="241"/>
      <c r="U1171" s="241"/>
      <c r="V1171" s="241"/>
      <c r="W1171" s="241"/>
      <c r="X1171" s="241"/>
      <c r="Y1171" s="241"/>
      <c r="Z1171" s="241"/>
    </row>
    <row r="1172" spans="3:26" ht="16.5">
      <c r="C1172" s="101"/>
      <c r="D1172" s="101"/>
      <c r="E1172" s="101"/>
      <c r="F1172" s="101"/>
      <c r="G1172" s="101"/>
      <c r="H1172" s="101"/>
      <c r="I1172" s="101"/>
      <c r="J1172" s="101"/>
      <c r="S1172" s="101"/>
      <c r="T1172" s="241"/>
      <c r="U1172" s="241"/>
      <c r="V1172" s="241"/>
      <c r="W1172" s="241"/>
      <c r="X1172" s="241"/>
      <c r="Y1172" s="241"/>
      <c r="Z1172" s="241"/>
    </row>
    <row r="1173" spans="3:26" ht="16.5">
      <c r="C1173" s="101"/>
      <c r="D1173" s="101"/>
      <c r="E1173" s="101"/>
      <c r="F1173" s="101"/>
      <c r="G1173" s="101"/>
      <c r="H1173" s="101"/>
      <c r="I1173" s="101"/>
      <c r="J1173" s="101"/>
      <c r="S1173" s="101"/>
      <c r="T1173" s="241"/>
      <c r="U1173" s="241"/>
      <c r="V1173" s="241"/>
      <c r="W1173" s="241"/>
      <c r="X1173" s="241"/>
      <c r="Y1173" s="241"/>
      <c r="Z1173" s="241"/>
    </row>
    <row r="1174" spans="3:26" ht="16.5">
      <c r="C1174" s="101"/>
      <c r="D1174" s="101"/>
      <c r="E1174" s="101"/>
      <c r="F1174" s="101"/>
      <c r="G1174" s="101"/>
      <c r="H1174" s="101"/>
      <c r="I1174" s="101"/>
      <c r="J1174" s="101"/>
      <c r="S1174" s="101"/>
      <c r="T1174" s="241"/>
      <c r="U1174" s="241"/>
      <c r="V1174" s="241"/>
      <c r="W1174" s="241"/>
      <c r="X1174" s="241"/>
      <c r="Y1174" s="241"/>
      <c r="Z1174" s="241"/>
    </row>
    <row r="1175" spans="3:26" ht="16.5">
      <c r="C1175" s="101"/>
      <c r="D1175" s="101"/>
      <c r="E1175" s="101"/>
      <c r="F1175" s="101"/>
      <c r="G1175" s="101"/>
      <c r="H1175" s="101"/>
      <c r="I1175" s="101"/>
      <c r="J1175" s="101"/>
      <c r="S1175" s="101"/>
      <c r="T1175" s="241"/>
      <c r="U1175" s="241"/>
      <c r="V1175" s="241"/>
      <c r="W1175" s="241"/>
      <c r="X1175" s="241"/>
      <c r="Y1175" s="241"/>
      <c r="Z1175" s="241"/>
    </row>
    <row r="1176" spans="3:26" ht="16.5">
      <c r="C1176" s="101"/>
      <c r="D1176" s="101"/>
      <c r="E1176" s="101"/>
      <c r="F1176" s="101"/>
      <c r="G1176" s="101"/>
      <c r="H1176" s="101"/>
      <c r="I1176" s="101"/>
      <c r="J1176" s="101"/>
      <c r="S1176" s="101"/>
      <c r="T1176" s="241"/>
      <c r="U1176" s="241"/>
      <c r="V1176" s="241"/>
      <c r="W1176" s="241"/>
      <c r="X1176" s="241"/>
      <c r="Y1176" s="241"/>
      <c r="Z1176" s="241"/>
    </row>
    <row r="1177" spans="3:26" ht="16.5">
      <c r="C1177" s="101"/>
      <c r="D1177" s="101"/>
      <c r="E1177" s="101"/>
      <c r="F1177" s="101"/>
      <c r="G1177" s="101"/>
      <c r="H1177" s="101"/>
      <c r="I1177" s="101"/>
      <c r="J1177" s="101"/>
      <c r="S1177" s="101"/>
      <c r="T1177" s="241"/>
      <c r="U1177" s="241"/>
      <c r="V1177" s="241"/>
      <c r="W1177" s="241"/>
      <c r="X1177" s="241"/>
      <c r="Y1177" s="241"/>
      <c r="Z1177" s="241"/>
    </row>
    <row r="1178" spans="3:26" ht="16.5">
      <c r="C1178" s="101"/>
      <c r="D1178" s="101"/>
      <c r="E1178" s="101"/>
      <c r="F1178" s="101"/>
      <c r="G1178" s="101"/>
      <c r="H1178" s="101"/>
      <c r="I1178" s="101"/>
      <c r="J1178" s="101"/>
      <c r="S1178" s="101"/>
      <c r="T1178" s="241"/>
      <c r="U1178" s="241"/>
      <c r="V1178" s="241"/>
      <c r="W1178" s="241"/>
      <c r="X1178" s="241"/>
      <c r="Y1178" s="241"/>
      <c r="Z1178" s="241"/>
    </row>
    <row r="1179" spans="3:26" ht="16.5">
      <c r="C1179" s="101"/>
      <c r="D1179" s="101"/>
      <c r="E1179" s="101"/>
      <c r="F1179" s="101"/>
      <c r="G1179" s="101"/>
      <c r="H1179" s="101"/>
      <c r="I1179" s="101"/>
      <c r="J1179" s="101"/>
      <c r="S1179" s="101"/>
      <c r="T1179" s="241"/>
      <c r="U1179" s="241"/>
      <c r="V1179" s="241"/>
      <c r="W1179" s="241"/>
      <c r="X1179" s="241"/>
      <c r="Y1179" s="241"/>
      <c r="Z1179" s="241"/>
    </row>
    <row r="1180" spans="3:26" ht="16.5">
      <c r="C1180" s="101"/>
      <c r="D1180" s="101"/>
      <c r="E1180" s="101"/>
      <c r="F1180" s="101"/>
      <c r="G1180" s="101"/>
      <c r="H1180" s="101"/>
      <c r="I1180" s="101"/>
      <c r="J1180" s="101"/>
      <c r="S1180" s="101"/>
      <c r="T1180" s="241"/>
      <c r="U1180" s="241"/>
      <c r="V1180" s="241"/>
      <c r="W1180" s="241"/>
      <c r="X1180" s="241"/>
      <c r="Y1180" s="241"/>
      <c r="Z1180" s="241"/>
    </row>
    <row r="1181" spans="3:26" ht="16.5">
      <c r="C1181" s="101"/>
      <c r="D1181" s="101"/>
      <c r="E1181" s="101"/>
      <c r="F1181" s="101"/>
      <c r="G1181" s="101"/>
      <c r="H1181" s="101"/>
      <c r="I1181" s="101"/>
      <c r="J1181" s="101"/>
      <c r="S1181" s="101"/>
      <c r="T1181" s="241"/>
      <c r="U1181" s="241"/>
      <c r="V1181" s="241"/>
      <c r="W1181" s="241"/>
      <c r="X1181" s="241"/>
      <c r="Y1181" s="241"/>
      <c r="Z1181" s="241"/>
    </row>
    <row r="1182" spans="3:26" ht="16.5">
      <c r="C1182" s="101"/>
      <c r="D1182" s="101"/>
      <c r="E1182" s="101"/>
      <c r="F1182" s="101"/>
      <c r="G1182" s="101"/>
      <c r="H1182" s="101"/>
      <c r="I1182" s="101"/>
      <c r="J1182" s="101"/>
      <c r="S1182" s="101"/>
      <c r="T1182" s="241"/>
      <c r="U1182" s="241"/>
      <c r="V1182" s="241"/>
      <c r="W1182" s="241"/>
      <c r="X1182" s="241"/>
      <c r="Y1182" s="241"/>
      <c r="Z1182" s="241"/>
    </row>
    <row r="1183" spans="3:26" ht="16.5">
      <c r="C1183" s="101"/>
      <c r="D1183" s="101"/>
      <c r="E1183" s="101"/>
      <c r="F1183" s="101"/>
      <c r="G1183" s="101"/>
      <c r="H1183" s="101"/>
      <c r="I1183" s="101"/>
      <c r="J1183" s="101"/>
      <c r="S1183" s="101"/>
      <c r="T1183" s="241"/>
      <c r="U1183" s="241"/>
      <c r="V1183" s="241"/>
      <c r="W1183" s="241"/>
      <c r="X1183" s="241"/>
      <c r="Y1183" s="241"/>
      <c r="Z1183" s="241"/>
    </row>
    <row r="1184" spans="3:26" ht="16.5">
      <c r="C1184" s="101"/>
      <c r="D1184" s="101"/>
      <c r="E1184" s="101"/>
      <c r="F1184" s="101"/>
      <c r="G1184" s="101"/>
      <c r="H1184" s="101"/>
      <c r="I1184" s="101"/>
      <c r="J1184" s="101"/>
      <c r="S1184" s="101"/>
      <c r="T1184" s="241"/>
      <c r="U1184" s="241"/>
      <c r="V1184" s="241"/>
      <c r="W1184" s="241"/>
      <c r="X1184" s="241"/>
      <c r="Y1184" s="241"/>
      <c r="Z1184" s="241"/>
    </row>
    <row r="1185" spans="3:26" ht="16.5">
      <c r="C1185" s="101"/>
      <c r="D1185" s="101"/>
      <c r="E1185" s="101"/>
      <c r="F1185" s="101"/>
      <c r="G1185" s="101"/>
      <c r="H1185" s="101"/>
      <c r="I1185" s="101"/>
      <c r="J1185" s="101"/>
      <c r="S1185" s="101"/>
      <c r="T1185" s="241"/>
      <c r="U1185" s="241"/>
      <c r="V1185" s="241"/>
      <c r="W1185" s="241"/>
      <c r="X1185" s="241"/>
      <c r="Y1185" s="241"/>
      <c r="Z1185" s="241"/>
    </row>
    <row r="1186" spans="3:26" ht="16.5">
      <c r="C1186" s="101"/>
      <c r="D1186" s="101"/>
      <c r="E1186" s="101"/>
      <c r="F1186" s="101"/>
      <c r="G1186" s="101"/>
      <c r="H1186" s="101"/>
      <c r="I1186" s="101"/>
      <c r="J1186" s="101"/>
      <c r="S1186" s="101"/>
      <c r="T1186" s="241"/>
      <c r="U1186" s="241"/>
      <c r="V1186" s="241"/>
      <c r="W1186" s="241"/>
      <c r="X1186" s="241"/>
      <c r="Y1186" s="241"/>
      <c r="Z1186" s="241"/>
    </row>
    <row r="1187" spans="3:26" ht="16.5">
      <c r="C1187" s="101"/>
      <c r="D1187" s="101"/>
      <c r="E1187" s="101"/>
      <c r="F1187" s="101"/>
      <c r="G1187" s="101"/>
      <c r="H1187" s="101"/>
      <c r="I1187" s="101"/>
      <c r="J1187" s="101"/>
      <c r="S1187" s="101"/>
      <c r="T1187" s="241"/>
      <c r="U1187" s="241"/>
      <c r="V1187" s="241"/>
      <c r="W1187" s="241"/>
      <c r="X1187" s="241"/>
      <c r="Y1187" s="241"/>
      <c r="Z1187" s="241"/>
    </row>
    <row r="1188" spans="3:26" ht="16.5">
      <c r="C1188" s="101"/>
      <c r="D1188" s="101"/>
      <c r="E1188" s="101"/>
      <c r="F1188" s="101"/>
      <c r="G1188" s="101"/>
      <c r="H1188" s="101"/>
      <c r="I1188" s="101"/>
      <c r="J1188" s="101"/>
      <c r="S1188" s="101"/>
      <c r="T1188" s="241"/>
      <c r="U1188" s="241"/>
      <c r="V1188" s="241"/>
      <c r="W1188" s="241"/>
      <c r="X1188" s="241"/>
      <c r="Y1188" s="241"/>
      <c r="Z1188" s="241"/>
    </row>
    <row r="1189" spans="3:26" ht="16.5">
      <c r="C1189" s="101"/>
      <c r="D1189" s="101"/>
      <c r="E1189" s="101"/>
      <c r="F1189" s="101"/>
      <c r="G1189" s="101"/>
      <c r="H1189" s="101"/>
      <c r="I1189" s="101"/>
      <c r="J1189" s="101"/>
      <c r="S1189" s="101"/>
      <c r="T1189" s="241"/>
      <c r="U1189" s="241"/>
      <c r="V1189" s="241"/>
      <c r="W1189" s="241"/>
      <c r="X1189" s="241"/>
      <c r="Y1189" s="241"/>
      <c r="Z1189" s="241"/>
    </row>
    <row r="1190" spans="3:26" ht="16.5">
      <c r="C1190" s="101"/>
      <c r="D1190" s="101"/>
      <c r="E1190" s="101"/>
      <c r="F1190" s="101"/>
      <c r="G1190" s="101"/>
      <c r="H1190" s="101"/>
      <c r="I1190" s="101"/>
      <c r="J1190" s="101"/>
      <c r="S1190" s="101"/>
      <c r="T1190" s="241"/>
      <c r="U1190" s="241"/>
      <c r="V1190" s="241"/>
      <c r="W1190" s="241"/>
      <c r="X1190" s="241"/>
      <c r="Y1190" s="241"/>
      <c r="Z1190" s="241"/>
    </row>
    <row r="1191" spans="3:26" ht="16.5">
      <c r="C1191" s="101"/>
      <c r="D1191" s="101"/>
      <c r="E1191" s="101"/>
      <c r="F1191" s="101"/>
      <c r="G1191" s="101"/>
      <c r="H1191" s="101"/>
      <c r="I1191" s="101"/>
      <c r="J1191" s="101"/>
      <c r="S1191" s="101"/>
      <c r="T1191" s="241"/>
      <c r="U1191" s="241"/>
      <c r="V1191" s="241"/>
      <c r="W1191" s="241"/>
      <c r="X1191" s="241"/>
      <c r="Y1191" s="241"/>
      <c r="Z1191" s="241"/>
    </row>
    <row r="1192" spans="3:26" ht="16.5">
      <c r="C1192" s="101"/>
      <c r="D1192" s="101"/>
      <c r="E1192" s="101"/>
      <c r="F1192" s="101"/>
      <c r="G1192" s="101"/>
      <c r="H1192" s="101"/>
      <c r="I1192" s="101"/>
      <c r="J1192" s="101"/>
      <c r="S1192" s="101"/>
      <c r="T1192" s="241"/>
      <c r="U1192" s="241"/>
      <c r="V1192" s="241"/>
      <c r="W1192" s="241"/>
      <c r="X1192" s="241"/>
      <c r="Y1192" s="241"/>
      <c r="Z1192" s="241"/>
    </row>
    <row r="1193" spans="3:26" ht="16.5">
      <c r="C1193" s="101"/>
      <c r="D1193" s="101"/>
      <c r="E1193" s="101"/>
      <c r="F1193" s="101"/>
      <c r="G1193" s="101"/>
      <c r="H1193" s="101"/>
      <c r="I1193" s="101"/>
      <c r="J1193" s="101"/>
      <c r="S1193" s="101"/>
      <c r="T1193" s="241"/>
      <c r="U1193" s="241"/>
      <c r="V1193" s="241"/>
      <c r="W1193" s="241"/>
      <c r="X1193" s="241"/>
      <c r="Y1193" s="241"/>
      <c r="Z1193" s="241"/>
    </row>
    <row r="1194" spans="3:26" ht="16.5">
      <c r="C1194" s="101"/>
      <c r="D1194" s="101"/>
      <c r="E1194" s="101"/>
      <c r="F1194" s="101"/>
      <c r="G1194" s="101"/>
      <c r="H1194" s="101"/>
      <c r="I1194" s="101"/>
      <c r="J1194" s="101"/>
      <c r="S1194" s="101"/>
      <c r="T1194" s="241"/>
      <c r="U1194" s="241"/>
      <c r="V1194" s="241"/>
      <c r="W1194" s="241"/>
      <c r="X1194" s="241"/>
      <c r="Y1194" s="241"/>
      <c r="Z1194" s="241"/>
    </row>
    <row r="1195" spans="3:26" ht="16.5">
      <c r="C1195" s="101"/>
      <c r="D1195" s="101"/>
      <c r="E1195" s="101"/>
      <c r="F1195" s="101"/>
      <c r="G1195" s="101"/>
      <c r="H1195" s="101"/>
      <c r="I1195" s="101"/>
      <c r="J1195" s="101"/>
      <c r="S1195" s="101"/>
      <c r="T1195" s="241"/>
      <c r="U1195" s="241"/>
      <c r="V1195" s="241"/>
      <c r="W1195" s="241"/>
      <c r="X1195" s="241"/>
      <c r="Y1195" s="241"/>
      <c r="Z1195" s="241"/>
    </row>
    <row r="1196" spans="3:26" ht="16.5">
      <c r="C1196" s="101"/>
      <c r="D1196" s="101"/>
      <c r="E1196" s="101"/>
      <c r="F1196" s="101"/>
      <c r="G1196" s="101"/>
      <c r="H1196" s="101"/>
      <c r="I1196" s="101"/>
      <c r="J1196" s="101"/>
      <c r="S1196" s="101"/>
      <c r="T1196" s="241"/>
      <c r="U1196" s="241"/>
      <c r="V1196" s="241"/>
      <c r="W1196" s="241"/>
      <c r="X1196" s="241"/>
      <c r="Y1196" s="241"/>
      <c r="Z1196" s="241"/>
    </row>
    <row r="1197" spans="3:26" ht="16.5">
      <c r="C1197" s="101"/>
      <c r="D1197" s="101"/>
      <c r="E1197" s="101"/>
      <c r="F1197" s="101"/>
      <c r="G1197" s="101"/>
      <c r="H1197" s="101"/>
      <c r="I1197" s="101"/>
      <c r="J1197" s="101"/>
      <c r="S1197" s="101"/>
      <c r="T1197" s="241"/>
      <c r="U1197" s="241"/>
      <c r="V1197" s="241"/>
      <c r="W1197" s="241"/>
      <c r="X1197" s="241"/>
      <c r="Y1197" s="241"/>
      <c r="Z1197" s="241"/>
    </row>
    <row r="1198" spans="3:26" ht="16.5">
      <c r="C1198" s="101"/>
      <c r="D1198" s="101"/>
      <c r="E1198" s="101"/>
      <c r="F1198" s="101"/>
      <c r="G1198" s="101"/>
      <c r="H1198" s="101"/>
      <c r="I1198" s="101"/>
      <c r="J1198" s="101"/>
      <c r="S1198" s="101"/>
      <c r="T1198" s="241"/>
      <c r="U1198" s="241"/>
      <c r="V1198" s="241"/>
      <c r="W1198" s="241"/>
      <c r="X1198" s="241"/>
      <c r="Y1198" s="241"/>
      <c r="Z1198" s="241"/>
    </row>
    <row r="1199" spans="3:26" ht="16.5">
      <c r="C1199" s="101"/>
      <c r="D1199" s="101"/>
      <c r="E1199" s="101"/>
      <c r="F1199" s="101"/>
      <c r="G1199" s="101"/>
      <c r="H1199" s="101"/>
      <c r="I1199" s="101"/>
      <c r="J1199" s="101"/>
      <c r="S1199" s="101"/>
      <c r="T1199" s="241"/>
      <c r="U1199" s="241"/>
      <c r="V1199" s="241"/>
      <c r="W1199" s="241"/>
      <c r="X1199" s="241"/>
      <c r="Y1199" s="241"/>
      <c r="Z1199" s="241"/>
    </row>
    <row r="1200" spans="3:26" ht="16.5">
      <c r="C1200" s="101"/>
      <c r="D1200" s="101"/>
      <c r="E1200" s="101"/>
      <c r="F1200" s="101"/>
      <c r="G1200" s="101"/>
      <c r="H1200" s="101"/>
      <c r="I1200" s="101"/>
      <c r="J1200" s="101"/>
      <c r="S1200" s="101"/>
      <c r="T1200" s="241"/>
      <c r="U1200" s="241"/>
      <c r="V1200" s="241"/>
      <c r="W1200" s="241"/>
      <c r="X1200" s="241"/>
      <c r="Y1200" s="241"/>
      <c r="Z1200" s="241"/>
    </row>
    <row r="1201" spans="3:26" ht="16.5">
      <c r="C1201" s="101"/>
      <c r="D1201" s="101"/>
      <c r="E1201" s="101"/>
      <c r="F1201" s="101"/>
      <c r="G1201" s="101"/>
      <c r="H1201" s="101"/>
      <c r="I1201" s="101"/>
      <c r="J1201" s="101"/>
      <c r="S1201" s="101"/>
      <c r="T1201" s="241"/>
      <c r="U1201" s="241"/>
      <c r="V1201" s="241"/>
      <c r="W1201" s="241"/>
      <c r="X1201" s="241"/>
      <c r="Y1201" s="241"/>
      <c r="Z1201" s="241"/>
    </row>
    <row r="1202" spans="3:26" ht="16.5">
      <c r="C1202" s="101"/>
      <c r="D1202" s="101"/>
      <c r="E1202" s="101"/>
      <c r="F1202" s="101"/>
      <c r="G1202" s="101"/>
      <c r="H1202" s="101"/>
      <c r="I1202" s="101"/>
      <c r="J1202" s="101"/>
      <c r="S1202" s="101"/>
      <c r="T1202" s="241"/>
      <c r="U1202" s="241"/>
      <c r="V1202" s="241"/>
      <c r="W1202" s="241"/>
      <c r="X1202" s="241"/>
      <c r="Y1202" s="241"/>
      <c r="Z1202" s="241"/>
    </row>
    <row r="1203" spans="3:26" ht="16.5">
      <c r="C1203" s="101"/>
      <c r="D1203" s="101"/>
      <c r="E1203" s="101"/>
      <c r="F1203" s="101"/>
      <c r="G1203" s="101"/>
      <c r="H1203" s="101"/>
      <c r="I1203" s="101"/>
      <c r="J1203" s="101"/>
      <c r="S1203" s="101"/>
      <c r="T1203" s="241"/>
      <c r="U1203" s="241"/>
      <c r="V1203" s="241"/>
      <c r="W1203" s="241"/>
      <c r="X1203" s="241"/>
      <c r="Y1203" s="241"/>
      <c r="Z1203" s="241"/>
    </row>
    <row r="1204" spans="3:26" ht="16.5">
      <c r="C1204" s="101"/>
      <c r="D1204" s="101"/>
      <c r="E1204" s="101"/>
      <c r="F1204" s="101"/>
      <c r="G1204" s="101"/>
      <c r="H1204" s="101"/>
      <c r="I1204" s="101"/>
      <c r="J1204" s="101"/>
      <c r="S1204" s="101"/>
      <c r="T1204" s="241"/>
      <c r="U1204" s="241"/>
      <c r="V1204" s="241"/>
      <c r="W1204" s="241"/>
      <c r="X1204" s="241"/>
      <c r="Y1204" s="241"/>
      <c r="Z1204" s="241"/>
    </row>
    <row r="1205" spans="3:26" ht="16.5">
      <c r="C1205" s="101"/>
      <c r="D1205" s="101"/>
      <c r="E1205" s="101"/>
      <c r="F1205" s="101"/>
      <c r="G1205" s="101"/>
      <c r="H1205" s="101"/>
      <c r="I1205" s="101"/>
      <c r="J1205" s="101"/>
      <c r="S1205" s="101"/>
      <c r="T1205" s="241"/>
      <c r="U1205" s="241"/>
      <c r="V1205" s="241"/>
      <c r="W1205" s="241"/>
      <c r="X1205" s="241"/>
      <c r="Y1205" s="241"/>
      <c r="Z1205" s="241"/>
    </row>
    <row r="1206" spans="3:26" ht="16.5">
      <c r="C1206" s="101"/>
      <c r="D1206" s="101"/>
      <c r="E1206" s="101"/>
      <c r="F1206" s="101"/>
      <c r="G1206" s="101"/>
      <c r="H1206" s="101"/>
      <c r="I1206" s="101"/>
      <c r="J1206" s="101"/>
      <c r="S1206" s="101"/>
      <c r="T1206" s="241"/>
      <c r="U1206" s="241"/>
      <c r="V1206" s="241"/>
      <c r="W1206" s="241"/>
      <c r="X1206" s="241"/>
      <c r="Y1206" s="241"/>
      <c r="Z1206" s="241"/>
    </row>
    <row r="1207" spans="3:26" ht="16.5">
      <c r="C1207" s="101"/>
      <c r="D1207" s="101"/>
      <c r="E1207" s="101"/>
      <c r="F1207" s="101"/>
      <c r="G1207" s="101"/>
      <c r="H1207" s="101"/>
      <c r="I1207" s="101"/>
      <c r="J1207" s="101"/>
      <c r="S1207" s="101"/>
      <c r="T1207" s="241"/>
      <c r="U1207" s="241"/>
      <c r="V1207" s="241"/>
      <c r="W1207" s="241"/>
      <c r="X1207" s="241"/>
      <c r="Y1207" s="241"/>
      <c r="Z1207" s="241"/>
    </row>
    <row r="1208" spans="3:26" ht="16.5">
      <c r="C1208" s="101"/>
      <c r="D1208" s="101"/>
      <c r="E1208" s="101"/>
      <c r="F1208" s="101"/>
      <c r="G1208" s="101"/>
      <c r="H1208" s="101"/>
      <c r="I1208" s="101"/>
      <c r="J1208" s="101"/>
      <c r="S1208" s="101"/>
      <c r="T1208" s="241"/>
      <c r="U1208" s="241"/>
      <c r="V1208" s="241"/>
      <c r="W1208" s="241"/>
      <c r="X1208" s="241"/>
      <c r="Y1208" s="241"/>
      <c r="Z1208" s="241"/>
    </row>
    <row r="1209" spans="3:26" ht="16.5">
      <c r="C1209" s="101"/>
      <c r="D1209" s="101"/>
      <c r="E1209" s="101"/>
      <c r="F1209" s="101"/>
      <c r="G1209" s="101"/>
      <c r="H1209" s="101"/>
      <c r="I1209" s="101"/>
      <c r="J1209" s="101"/>
      <c r="S1209" s="101"/>
      <c r="T1209" s="241"/>
      <c r="U1209" s="241"/>
      <c r="V1209" s="241"/>
      <c r="W1209" s="241"/>
      <c r="X1209" s="241"/>
      <c r="Y1209" s="241"/>
      <c r="Z1209" s="241"/>
    </row>
    <row r="1210" spans="3:26" ht="16.5">
      <c r="C1210" s="101"/>
      <c r="D1210" s="101"/>
      <c r="E1210" s="101"/>
      <c r="F1210" s="101"/>
      <c r="G1210" s="101"/>
      <c r="H1210" s="101"/>
      <c r="I1210" s="101"/>
      <c r="J1210" s="101"/>
      <c r="S1210" s="101"/>
      <c r="T1210" s="241"/>
      <c r="U1210" s="241"/>
      <c r="V1210" s="241"/>
      <c r="W1210" s="241"/>
      <c r="X1210" s="241"/>
      <c r="Y1210" s="241"/>
      <c r="Z1210" s="241"/>
    </row>
    <row r="1211" spans="3:26" ht="16.5">
      <c r="C1211" s="101"/>
      <c r="D1211" s="101"/>
      <c r="E1211" s="101"/>
      <c r="F1211" s="101"/>
      <c r="G1211" s="101"/>
      <c r="H1211" s="101"/>
      <c r="I1211" s="101"/>
      <c r="J1211" s="101"/>
      <c r="S1211" s="101"/>
      <c r="T1211" s="241"/>
      <c r="U1211" s="241"/>
      <c r="V1211" s="241"/>
      <c r="W1211" s="241"/>
      <c r="X1211" s="241"/>
      <c r="Y1211" s="241"/>
      <c r="Z1211" s="241"/>
    </row>
    <row r="1212" spans="3:26" ht="16.5">
      <c r="C1212" s="101"/>
      <c r="D1212" s="101"/>
      <c r="E1212" s="101"/>
      <c r="F1212" s="101"/>
      <c r="G1212" s="101"/>
      <c r="H1212" s="101"/>
      <c r="I1212" s="101"/>
      <c r="J1212" s="101"/>
      <c r="S1212" s="101"/>
      <c r="T1212" s="241"/>
      <c r="U1212" s="241"/>
      <c r="V1212" s="241"/>
      <c r="W1212" s="241"/>
      <c r="X1212" s="241"/>
      <c r="Y1212" s="241"/>
      <c r="Z1212" s="241"/>
    </row>
    <row r="1213" spans="3:26" ht="16.5">
      <c r="C1213" s="101"/>
      <c r="D1213" s="101"/>
      <c r="E1213" s="101"/>
      <c r="F1213" s="101"/>
      <c r="G1213" s="101"/>
      <c r="H1213" s="101"/>
      <c r="I1213" s="101"/>
      <c r="J1213" s="101"/>
      <c r="S1213" s="101"/>
      <c r="T1213" s="241"/>
      <c r="U1213" s="241"/>
      <c r="V1213" s="241"/>
      <c r="W1213" s="241"/>
      <c r="X1213" s="241"/>
      <c r="Y1213" s="241"/>
      <c r="Z1213" s="241"/>
    </row>
    <row r="1214" spans="3:26" ht="16.5">
      <c r="C1214" s="101"/>
      <c r="D1214" s="101"/>
      <c r="E1214" s="101"/>
      <c r="F1214" s="101"/>
      <c r="G1214" s="101"/>
      <c r="H1214" s="101"/>
      <c r="I1214" s="101"/>
      <c r="J1214" s="101"/>
      <c r="S1214" s="101"/>
      <c r="T1214" s="241"/>
      <c r="U1214" s="241"/>
      <c r="V1214" s="241"/>
      <c r="W1214" s="241"/>
      <c r="X1214" s="241"/>
      <c r="Y1214" s="241"/>
      <c r="Z1214" s="241"/>
    </row>
    <row r="1215" spans="3:26" ht="16.5">
      <c r="C1215" s="101"/>
      <c r="D1215" s="101"/>
      <c r="E1215" s="101"/>
      <c r="F1215" s="101"/>
      <c r="G1215" s="101"/>
      <c r="H1215" s="101"/>
      <c r="I1215" s="101"/>
      <c r="J1215" s="101"/>
      <c r="S1215" s="101"/>
      <c r="T1215" s="241"/>
      <c r="U1215" s="241"/>
      <c r="V1215" s="241"/>
      <c r="W1215" s="241"/>
      <c r="X1215" s="241"/>
      <c r="Y1215" s="241"/>
      <c r="Z1215" s="241"/>
    </row>
    <row r="1216" spans="3:26" ht="16.5">
      <c r="C1216" s="101"/>
      <c r="D1216" s="101"/>
      <c r="E1216" s="101"/>
      <c r="F1216" s="101"/>
      <c r="G1216" s="101"/>
      <c r="H1216" s="101"/>
      <c r="I1216" s="101"/>
      <c r="J1216" s="101"/>
      <c r="S1216" s="101"/>
      <c r="T1216" s="241"/>
      <c r="U1216" s="241"/>
      <c r="V1216" s="241"/>
      <c r="W1216" s="241"/>
      <c r="X1216" s="241"/>
      <c r="Y1216" s="241"/>
      <c r="Z1216" s="241"/>
    </row>
    <row r="1217" spans="3:26" ht="16.5">
      <c r="C1217" s="101"/>
      <c r="D1217" s="101"/>
      <c r="E1217" s="101"/>
      <c r="F1217" s="101"/>
      <c r="G1217" s="101"/>
      <c r="H1217" s="101"/>
      <c r="I1217" s="101"/>
      <c r="J1217" s="101"/>
      <c r="S1217" s="101"/>
      <c r="T1217" s="241"/>
      <c r="U1217" s="241"/>
      <c r="V1217" s="241"/>
      <c r="W1217" s="241"/>
      <c r="X1217" s="241"/>
      <c r="Y1217" s="241"/>
      <c r="Z1217" s="241"/>
    </row>
    <row r="1218" spans="3:26" ht="16.5">
      <c r="C1218" s="101"/>
      <c r="D1218" s="101"/>
      <c r="E1218" s="101"/>
      <c r="F1218" s="101"/>
      <c r="G1218" s="101"/>
      <c r="H1218" s="101"/>
      <c r="I1218" s="101"/>
      <c r="J1218" s="101"/>
      <c r="S1218" s="101"/>
      <c r="T1218" s="241"/>
      <c r="U1218" s="241"/>
      <c r="V1218" s="241"/>
      <c r="W1218" s="241"/>
      <c r="X1218" s="241"/>
      <c r="Y1218" s="241"/>
      <c r="Z1218" s="241"/>
    </row>
    <row r="1219" spans="3:26" ht="16.5">
      <c r="C1219" s="101"/>
      <c r="D1219" s="101"/>
      <c r="E1219" s="101"/>
      <c r="F1219" s="101"/>
      <c r="G1219" s="101"/>
      <c r="H1219" s="101"/>
      <c r="I1219" s="101"/>
      <c r="J1219" s="101"/>
      <c r="S1219" s="101"/>
      <c r="T1219" s="241"/>
      <c r="U1219" s="241"/>
      <c r="V1219" s="241"/>
      <c r="W1219" s="241"/>
      <c r="X1219" s="241"/>
      <c r="Y1219" s="241"/>
      <c r="Z1219" s="241"/>
    </row>
    <row r="1220" spans="3:26" ht="16.5">
      <c r="C1220" s="101"/>
      <c r="D1220" s="101"/>
      <c r="E1220" s="101"/>
      <c r="F1220" s="101"/>
      <c r="G1220" s="101"/>
      <c r="H1220" s="101"/>
      <c r="I1220" s="101"/>
      <c r="J1220" s="101"/>
      <c r="S1220" s="101"/>
      <c r="T1220" s="241"/>
      <c r="U1220" s="241"/>
      <c r="V1220" s="241"/>
      <c r="W1220" s="241"/>
      <c r="X1220" s="241"/>
      <c r="Y1220" s="241"/>
      <c r="Z1220" s="241"/>
    </row>
    <row r="1221" spans="3:26" ht="16.5">
      <c r="C1221" s="101"/>
      <c r="D1221" s="101"/>
      <c r="E1221" s="101"/>
      <c r="F1221" s="101"/>
      <c r="G1221" s="101"/>
      <c r="H1221" s="101"/>
      <c r="I1221" s="101"/>
      <c r="J1221" s="101"/>
      <c r="S1221" s="101"/>
      <c r="T1221" s="241"/>
      <c r="U1221" s="241"/>
      <c r="V1221" s="241"/>
      <c r="W1221" s="241"/>
      <c r="X1221" s="241"/>
      <c r="Y1221" s="241"/>
      <c r="Z1221" s="241"/>
    </row>
    <row r="1222" spans="3:26" ht="16.5">
      <c r="C1222" s="101"/>
      <c r="D1222" s="101"/>
      <c r="E1222" s="101"/>
      <c r="F1222" s="101"/>
      <c r="G1222" s="101"/>
      <c r="H1222" s="101"/>
      <c r="I1222" s="101"/>
      <c r="J1222" s="101"/>
      <c r="S1222" s="101"/>
      <c r="T1222" s="241"/>
      <c r="U1222" s="241"/>
      <c r="V1222" s="241"/>
      <c r="W1222" s="241"/>
      <c r="X1222" s="241"/>
      <c r="Y1222" s="241"/>
      <c r="Z1222" s="241"/>
    </row>
    <row r="1223" spans="3:26" ht="16.5">
      <c r="C1223" s="101"/>
      <c r="D1223" s="101"/>
      <c r="E1223" s="101"/>
      <c r="F1223" s="101"/>
      <c r="G1223" s="101"/>
      <c r="H1223" s="101"/>
      <c r="I1223" s="101"/>
      <c r="J1223" s="101"/>
      <c r="S1223" s="101"/>
      <c r="T1223" s="241"/>
      <c r="U1223" s="241"/>
      <c r="V1223" s="241"/>
      <c r="W1223" s="241"/>
      <c r="X1223" s="241"/>
      <c r="Y1223" s="241"/>
      <c r="Z1223" s="241"/>
    </row>
    <row r="1224" spans="3:26" ht="16.5">
      <c r="C1224" s="101"/>
      <c r="D1224" s="101"/>
      <c r="E1224" s="101"/>
      <c r="F1224" s="101"/>
      <c r="G1224" s="101"/>
      <c r="H1224" s="101"/>
      <c r="I1224" s="101"/>
      <c r="J1224" s="101"/>
      <c r="S1224" s="101"/>
      <c r="T1224" s="241"/>
      <c r="U1224" s="241"/>
      <c r="V1224" s="241"/>
      <c r="W1224" s="241"/>
      <c r="X1224" s="241"/>
      <c r="Y1224" s="241"/>
      <c r="Z1224" s="241"/>
    </row>
    <row r="1225" spans="3:26" ht="16.5">
      <c r="C1225" s="101"/>
      <c r="D1225" s="101"/>
      <c r="E1225" s="101"/>
      <c r="F1225" s="101"/>
      <c r="G1225" s="101"/>
      <c r="H1225" s="101"/>
      <c r="I1225" s="101"/>
      <c r="J1225" s="101"/>
      <c r="S1225" s="101"/>
      <c r="T1225" s="241"/>
      <c r="U1225" s="241"/>
      <c r="V1225" s="241"/>
      <c r="W1225" s="241"/>
      <c r="X1225" s="241"/>
      <c r="Y1225" s="241"/>
      <c r="Z1225" s="241"/>
    </row>
    <row r="1226" spans="3:26" ht="16.5">
      <c r="C1226" s="101"/>
      <c r="D1226" s="101"/>
      <c r="E1226" s="101"/>
      <c r="F1226" s="101"/>
      <c r="G1226" s="101"/>
      <c r="H1226" s="101"/>
      <c r="I1226" s="101"/>
      <c r="J1226" s="101"/>
      <c r="S1226" s="101"/>
      <c r="T1226" s="241"/>
      <c r="U1226" s="241"/>
      <c r="V1226" s="241"/>
      <c r="W1226" s="241"/>
      <c r="X1226" s="241"/>
      <c r="Y1226" s="241"/>
      <c r="Z1226" s="241"/>
    </row>
    <row r="1227" spans="3:26" ht="16.5">
      <c r="C1227" s="101"/>
      <c r="D1227" s="101"/>
      <c r="E1227" s="101"/>
      <c r="F1227" s="101"/>
      <c r="G1227" s="101"/>
      <c r="H1227" s="101"/>
      <c r="I1227" s="101"/>
      <c r="J1227" s="101"/>
      <c r="S1227" s="101"/>
      <c r="T1227" s="241"/>
      <c r="U1227" s="241"/>
      <c r="V1227" s="241"/>
      <c r="W1227" s="241"/>
      <c r="X1227" s="241"/>
      <c r="Y1227" s="241"/>
      <c r="Z1227" s="241"/>
    </row>
    <row r="1228" spans="3:26" ht="16.5">
      <c r="C1228" s="101"/>
      <c r="D1228" s="101"/>
      <c r="E1228" s="101"/>
      <c r="F1228" s="101"/>
      <c r="G1228" s="101"/>
      <c r="H1228" s="101"/>
      <c r="I1228" s="101"/>
      <c r="J1228" s="101"/>
      <c r="S1228" s="101"/>
      <c r="T1228" s="241"/>
      <c r="U1228" s="241"/>
      <c r="V1228" s="241"/>
      <c r="W1228" s="241"/>
      <c r="X1228" s="241"/>
      <c r="Y1228" s="241"/>
      <c r="Z1228" s="241"/>
    </row>
    <row r="1229" spans="3:26" ht="16.5">
      <c r="C1229" s="101"/>
      <c r="D1229" s="101"/>
      <c r="E1229" s="101"/>
      <c r="F1229" s="101"/>
      <c r="G1229" s="101"/>
      <c r="H1229" s="101"/>
      <c r="I1229" s="101"/>
      <c r="J1229" s="101"/>
      <c r="S1229" s="101"/>
      <c r="T1229" s="241"/>
      <c r="U1229" s="241"/>
      <c r="V1229" s="241"/>
      <c r="W1229" s="241"/>
      <c r="X1229" s="241"/>
      <c r="Y1229" s="241"/>
      <c r="Z1229" s="241"/>
    </row>
    <row r="1230" spans="3:26" ht="16.5">
      <c r="C1230" s="101"/>
      <c r="D1230" s="101"/>
      <c r="E1230" s="101"/>
      <c r="F1230" s="101"/>
      <c r="G1230" s="101"/>
      <c r="H1230" s="101"/>
      <c r="I1230" s="101"/>
      <c r="J1230" s="101"/>
      <c r="S1230" s="101"/>
      <c r="T1230" s="241"/>
      <c r="U1230" s="241"/>
      <c r="V1230" s="241"/>
      <c r="W1230" s="241"/>
      <c r="X1230" s="241"/>
      <c r="Y1230" s="241"/>
      <c r="Z1230" s="241"/>
    </row>
    <row r="1231" spans="3:26" ht="16.5">
      <c r="C1231" s="101"/>
      <c r="D1231" s="101"/>
      <c r="E1231" s="101"/>
      <c r="F1231" s="101"/>
      <c r="G1231" s="101"/>
      <c r="H1231" s="101"/>
      <c r="I1231" s="101"/>
      <c r="J1231" s="101"/>
      <c r="S1231" s="101"/>
      <c r="T1231" s="241"/>
      <c r="U1231" s="241"/>
      <c r="V1231" s="241"/>
      <c r="W1231" s="241"/>
      <c r="X1231" s="241"/>
      <c r="Y1231" s="241"/>
      <c r="Z1231" s="241"/>
    </row>
    <row r="1232" spans="3:26" ht="16.5">
      <c r="C1232" s="101"/>
      <c r="D1232" s="101"/>
      <c r="E1232" s="101"/>
      <c r="F1232" s="101"/>
      <c r="G1232" s="101"/>
      <c r="H1232" s="101"/>
      <c r="I1232" s="101"/>
      <c r="J1232" s="101"/>
      <c r="S1232" s="101"/>
      <c r="T1232" s="241"/>
      <c r="U1232" s="241"/>
      <c r="V1232" s="241"/>
      <c r="W1232" s="241"/>
      <c r="X1232" s="241"/>
      <c r="Y1232" s="241"/>
      <c r="Z1232" s="241"/>
    </row>
    <row r="1233" spans="3:26" ht="16.5">
      <c r="C1233" s="101"/>
      <c r="D1233" s="101"/>
      <c r="E1233" s="101"/>
      <c r="F1233" s="101"/>
      <c r="G1233" s="101"/>
      <c r="H1233" s="101"/>
      <c r="I1233" s="101"/>
      <c r="J1233" s="101"/>
      <c r="S1233" s="101"/>
      <c r="T1233" s="241"/>
      <c r="U1233" s="241"/>
      <c r="V1233" s="241"/>
      <c r="W1233" s="241"/>
      <c r="X1233" s="241"/>
      <c r="Y1233" s="241"/>
      <c r="Z1233" s="241"/>
    </row>
    <row r="1234" spans="3:26" ht="16.5">
      <c r="C1234" s="101"/>
      <c r="D1234" s="101"/>
      <c r="E1234" s="101"/>
      <c r="F1234" s="101"/>
      <c r="G1234" s="101"/>
      <c r="H1234" s="101"/>
      <c r="I1234" s="101"/>
      <c r="J1234" s="101"/>
      <c r="S1234" s="101"/>
      <c r="T1234" s="241"/>
      <c r="U1234" s="241"/>
      <c r="V1234" s="241"/>
      <c r="W1234" s="241"/>
      <c r="X1234" s="241"/>
      <c r="Y1234" s="241"/>
      <c r="Z1234" s="241"/>
    </row>
    <row r="1235" spans="3:26" ht="16.5">
      <c r="C1235" s="101"/>
      <c r="D1235" s="101"/>
      <c r="E1235" s="101"/>
      <c r="F1235" s="101"/>
      <c r="G1235" s="101"/>
      <c r="H1235" s="101"/>
      <c r="I1235" s="101"/>
      <c r="J1235" s="101"/>
      <c r="S1235" s="101"/>
      <c r="T1235" s="241"/>
      <c r="U1235" s="241"/>
      <c r="V1235" s="241"/>
      <c r="W1235" s="241"/>
      <c r="X1235" s="241"/>
      <c r="Y1235" s="241"/>
      <c r="Z1235" s="241"/>
    </row>
    <row r="1236" spans="3:26" ht="16.5">
      <c r="C1236" s="101"/>
      <c r="D1236" s="101"/>
      <c r="E1236" s="101"/>
      <c r="F1236" s="101"/>
      <c r="G1236" s="101"/>
      <c r="H1236" s="101"/>
      <c r="I1236" s="101"/>
      <c r="J1236" s="101"/>
      <c r="S1236" s="101"/>
      <c r="T1236" s="241"/>
      <c r="U1236" s="241"/>
      <c r="V1236" s="241"/>
      <c r="W1236" s="241"/>
      <c r="X1236" s="241"/>
      <c r="Y1236" s="241"/>
      <c r="Z1236" s="241"/>
    </row>
    <row r="1237" spans="3:26" ht="16.5">
      <c r="C1237" s="101"/>
      <c r="D1237" s="101"/>
      <c r="E1237" s="101"/>
      <c r="F1237" s="101"/>
      <c r="G1237" s="101"/>
      <c r="H1237" s="101"/>
      <c r="I1237" s="101"/>
      <c r="J1237" s="101"/>
      <c r="S1237" s="101"/>
      <c r="T1237" s="241"/>
      <c r="U1237" s="241"/>
      <c r="V1237" s="241"/>
      <c r="W1237" s="241"/>
      <c r="X1237" s="241"/>
      <c r="Y1237" s="241"/>
      <c r="Z1237" s="241"/>
    </row>
    <row r="1238" spans="3:26" ht="16.5">
      <c r="C1238" s="101"/>
      <c r="D1238" s="101"/>
      <c r="E1238" s="101"/>
      <c r="F1238" s="101"/>
      <c r="G1238" s="101"/>
      <c r="H1238" s="101"/>
      <c r="I1238" s="101"/>
      <c r="J1238" s="101"/>
      <c r="S1238" s="101"/>
      <c r="T1238" s="241"/>
      <c r="U1238" s="241"/>
      <c r="V1238" s="241"/>
      <c r="W1238" s="241"/>
      <c r="X1238" s="241"/>
      <c r="Y1238" s="241"/>
      <c r="Z1238" s="241"/>
    </row>
    <row r="1239" spans="3:26" ht="16.5">
      <c r="C1239" s="101"/>
      <c r="D1239" s="101"/>
      <c r="E1239" s="101"/>
      <c r="F1239" s="101"/>
      <c r="G1239" s="101"/>
      <c r="H1239" s="101"/>
      <c r="I1239" s="101"/>
      <c r="J1239" s="101"/>
      <c r="S1239" s="101"/>
      <c r="T1239" s="241"/>
      <c r="U1239" s="241"/>
      <c r="V1239" s="241"/>
      <c r="W1239" s="241"/>
      <c r="X1239" s="241"/>
      <c r="Y1239" s="241"/>
      <c r="Z1239" s="241"/>
    </row>
    <row r="1240" spans="3:26" ht="16.5">
      <c r="C1240" s="101"/>
      <c r="D1240" s="101"/>
      <c r="E1240" s="101"/>
      <c r="F1240" s="101"/>
      <c r="G1240" s="101"/>
      <c r="H1240" s="101"/>
      <c r="I1240" s="101"/>
      <c r="J1240" s="101"/>
      <c r="S1240" s="101"/>
      <c r="T1240" s="241"/>
      <c r="U1240" s="241"/>
      <c r="V1240" s="241"/>
      <c r="W1240" s="241"/>
      <c r="X1240" s="241"/>
      <c r="Y1240" s="241"/>
      <c r="Z1240" s="241"/>
    </row>
    <row r="1241" spans="3:26" ht="16.5">
      <c r="C1241" s="101"/>
      <c r="D1241" s="101"/>
      <c r="E1241" s="101"/>
      <c r="F1241" s="101"/>
      <c r="G1241" s="101"/>
      <c r="H1241" s="101"/>
      <c r="I1241" s="101"/>
      <c r="J1241" s="101"/>
      <c r="S1241" s="101"/>
      <c r="T1241" s="241"/>
      <c r="U1241" s="241"/>
      <c r="V1241" s="241"/>
      <c r="W1241" s="241"/>
      <c r="X1241" s="241"/>
      <c r="Y1241" s="241"/>
      <c r="Z1241" s="241"/>
    </row>
    <row r="1242" spans="3:26" ht="16.5">
      <c r="C1242" s="101"/>
      <c r="D1242" s="101"/>
      <c r="E1242" s="101"/>
      <c r="F1242" s="101"/>
      <c r="G1242" s="101"/>
      <c r="H1242" s="101"/>
      <c r="I1242" s="101"/>
      <c r="J1242" s="101"/>
      <c r="S1242" s="101"/>
      <c r="T1242" s="241"/>
      <c r="U1242" s="241"/>
      <c r="V1242" s="241"/>
      <c r="W1242" s="241"/>
      <c r="X1242" s="241"/>
      <c r="Y1242" s="241"/>
      <c r="Z1242" s="241"/>
    </row>
    <row r="1243" spans="3:26" ht="16.5">
      <c r="C1243" s="101"/>
      <c r="D1243" s="101"/>
      <c r="E1243" s="101"/>
      <c r="F1243" s="101"/>
      <c r="G1243" s="101"/>
      <c r="H1243" s="101"/>
      <c r="I1243" s="101"/>
      <c r="J1243" s="101"/>
      <c r="S1243" s="101"/>
      <c r="T1243" s="241"/>
      <c r="U1243" s="241"/>
      <c r="V1243" s="241"/>
      <c r="W1243" s="241"/>
      <c r="X1243" s="241"/>
      <c r="Y1243" s="241"/>
      <c r="Z1243" s="241"/>
    </row>
    <row r="1244" spans="3:26" ht="16.5">
      <c r="C1244" s="101"/>
      <c r="D1244" s="101"/>
      <c r="E1244" s="101"/>
      <c r="F1244" s="101"/>
      <c r="G1244" s="101"/>
      <c r="H1244" s="101"/>
      <c r="I1244" s="101"/>
      <c r="J1244" s="101"/>
      <c r="S1244" s="101"/>
      <c r="T1244" s="241"/>
      <c r="U1244" s="241"/>
      <c r="V1244" s="241"/>
      <c r="W1244" s="241"/>
      <c r="X1244" s="241"/>
      <c r="Y1244" s="241"/>
      <c r="Z1244" s="241"/>
    </row>
    <row r="1245" spans="3:26" ht="16.5">
      <c r="C1245" s="101"/>
      <c r="D1245" s="101"/>
      <c r="E1245" s="101"/>
      <c r="F1245" s="101"/>
      <c r="G1245" s="101"/>
      <c r="H1245" s="101"/>
      <c r="I1245" s="101"/>
      <c r="J1245" s="101"/>
      <c r="S1245" s="101"/>
      <c r="T1245" s="241"/>
      <c r="U1245" s="241"/>
      <c r="V1245" s="241"/>
      <c r="W1245" s="241"/>
      <c r="X1245" s="241"/>
      <c r="Y1245" s="241"/>
      <c r="Z1245" s="241"/>
    </row>
    <row r="1246" spans="3:26" ht="16.5">
      <c r="C1246" s="101"/>
      <c r="D1246" s="101"/>
      <c r="E1246" s="101"/>
      <c r="F1246" s="101"/>
      <c r="G1246" s="101"/>
      <c r="H1246" s="101"/>
      <c r="I1246" s="101"/>
      <c r="J1246" s="101"/>
      <c r="S1246" s="101"/>
      <c r="T1246" s="241"/>
      <c r="U1246" s="241"/>
      <c r="V1246" s="241"/>
      <c r="W1246" s="241"/>
      <c r="X1246" s="241"/>
      <c r="Y1246" s="241"/>
      <c r="Z1246" s="241"/>
    </row>
    <row r="1247" spans="3:26" ht="16.5">
      <c r="C1247" s="101"/>
      <c r="D1247" s="101"/>
      <c r="E1247" s="101"/>
      <c r="F1247" s="101"/>
      <c r="G1247" s="101"/>
      <c r="H1247" s="101"/>
      <c r="I1247" s="101"/>
      <c r="J1247" s="101"/>
      <c r="S1247" s="101"/>
      <c r="T1247" s="241"/>
      <c r="U1247" s="241"/>
      <c r="V1247" s="241"/>
      <c r="W1247" s="241"/>
      <c r="X1247" s="241"/>
      <c r="Y1247" s="241"/>
      <c r="Z1247" s="241"/>
    </row>
    <row r="1248" spans="3:26" ht="16.5">
      <c r="C1248" s="101"/>
      <c r="D1248" s="101"/>
      <c r="E1248" s="101"/>
      <c r="F1248" s="101"/>
      <c r="G1248" s="101"/>
      <c r="H1248" s="101"/>
      <c r="I1248" s="101"/>
      <c r="J1248" s="101"/>
      <c r="S1248" s="101"/>
      <c r="T1248" s="241"/>
      <c r="U1248" s="241"/>
      <c r="V1248" s="241"/>
      <c r="W1248" s="241"/>
      <c r="X1248" s="241"/>
      <c r="Y1248" s="241"/>
      <c r="Z1248" s="241"/>
    </row>
    <row r="1249" spans="3:26" ht="16.5">
      <c r="C1249" s="101"/>
      <c r="D1249" s="101"/>
      <c r="E1249" s="101"/>
      <c r="F1249" s="101"/>
      <c r="G1249" s="101"/>
      <c r="H1249" s="101"/>
      <c r="I1249" s="101"/>
      <c r="J1249" s="101"/>
      <c r="S1249" s="101"/>
      <c r="T1249" s="241"/>
      <c r="U1249" s="241"/>
      <c r="V1249" s="241"/>
      <c r="W1249" s="241"/>
      <c r="X1249" s="241"/>
      <c r="Y1249" s="241"/>
      <c r="Z1249" s="241"/>
    </row>
    <row r="1250" spans="3:26" ht="16.5">
      <c r="C1250" s="101"/>
      <c r="D1250" s="101"/>
      <c r="E1250" s="101"/>
      <c r="F1250" s="101"/>
      <c r="G1250" s="101"/>
      <c r="H1250" s="101"/>
      <c r="I1250" s="101"/>
      <c r="J1250" s="101"/>
      <c r="S1250" s="101"/>
      <c r="T1250" s="241"/>
      <c r="U1250" s="241"/>
      <c r="V1250" s="241"/>
      <c r="W1250" s="241"/>
      <c r="X1250" s="241"/>
      <c r="Y1250" s="241"/>
      <c r="Z1250" s="241"/>
    </row>
    <row r="1251" spans="3:26" ht="16.5">
      <c r="C1251" s="101"/>
      <c r="D1251" s="101"/>
      <c r="E1251" s="101"/>
      <c r="F1251" s="101"/>
      <c r="G1251" s="101"/>
      <c r="H1251" s="101"/>
      <c r="I1251" s="101"/>
      <c r="J1251" s="101"/>
      <c r="S1251" s="101"/>
      <c r="T1251" s="241"/>
      <c r="U1251" s="241"/>
      <c r="V1251" s="241"/>
      <c r="W1251" s="241"/>
      <c r="X1251" s="241"/>
      <c r="Y1251" s="241"/>
      <c r="Z1251" s="241"/>
    </row>
    <row r="1252" spans="3:26" ht="16.5">
      <c r="C1252" s="101"/>
      <c r="D1252" s="101"/>
      <c r="E1252" s="101"/>
      <c r="F1252" s="101"/>
      <c r="G1252" s="101"/>
      <c r="H1252" s="101"/>
      <c r="I1252" s="101"/>
      <c r="J1252" s="101"/>
      <c r="S1252" s="101"/>
      <c r="T1252" s="241"/>
      <c r="U1252" s="241"/>
      <c r="V1252" s="241"/>
      <c r="W1252" s="241"/>
      <c r="X1252" s="241"/>
      <c r="Y1252" s="241"/>
      <c r="Z1252" s="241"/>
    </row>
    <row r="1253" spans="3:26" ht="16.5">
      <c r="C1253" s="101"/>
      <c r="D1253" s="101"/>
      <c r="E1253" s="101"/>
      <c r="F1253" s="101"/>
      <c r="G1253" s="101"/>
      <c r="H1253" s="101"/>
      <c r="I1253" s="101"/>
      <c r="J1253" s="101"/>
      <c r="S1253" s="101"/>
      <c r="T1253" s="241"/>
      <c r="U1253" s="241"/>
      <c r="V1253" s="241"/>
      <c r="W1253" s="241"/>
      <c r="X1253" s="241"/>
      <c r="Y1253" s="241"/>
      <c r="Z1253" s="241"/>
    </row>
    <row r="1254" spans="3:26" ht="16.5">
      <c r="C1254" s="101"/>
      <c r="D1254" s="101"/>
      <c r="E1254" s="101"/>
      <c r="F1254" s="101"/>
      <c r="G1254" s="101"/>
      <c r="H1254" s="101"/>
      <c r="I1254" s="101"/>
      <c r="J1254" s="101"/>
      <c r="S1254" s="101"/>
      <c r="T1254" s="241"/>
      <c r="U1254" s="241"/>
      <c r="V1254" s="241"/>
      <c r="W1254" s="241"/>
      <c r="X1254" s="241"/>
      <c r="Y1254" s="241"/>
      <c r="Z1254" s="241"/>
    </row>
    <row r="1255" spans="3:26" ht="16.5">
      <c r="C1255" s="101"/>
      <c r="D1255" s="101"/>
      <c r="E1255" s="101"/>
      <c r="F1255" s="101"/>
      <c r="G1255" s="101"/>
      <c r="H1255" s="101"/>
      <c r="I1255" s="101"/>
      <c r="J1255" s="101"/>
      <c r="S1255" s="101"/>
      <c r="T1255" s="241"/>
      <c r="U1255" s="241"/>
      <c r="V1255" s="241"/>
      <c r="W1255" s="241"/>
      <c r="X1255" s="241"/>
      <c r="Y1255" s="241"/>
      <c r="Z1255" s="241"/>
    </row>
    <row r="1256" spans="3:26" ht="16.5">
      <c r="C1256" s="101"/>
      <c r="D1256" s="101"/>
      <c r="E1256" s="101"/>
      <c r="F1256" s="101"/>
      <c r="G1256" s="101"/>
      <c r="H1256" s="101"/>
      <c r="I1256" s="101"/>
      <c r="J1256" s="101"/>
      <c r="S1256" s="101"/>
      <c r="T1256" s="241"/>
      <c r="U1256" s="241"/>
      <c r="V1256" s="241"/>
      <c r="W1256" s="241"/>
      <c r="X1256" s="241"/>
      <c r="Y1256" s="241"/>
      <c r="Z1256" s="241"/>
    </row>
    <row r="1257" spans="3:26" ht="16.5">
      <c r="C1257" s="101"/>
      <c r="D1257" s="101"/>
      <c r="E1257" s="101"/>
      <c r="F1257" s="101"/>
      <c r="G1257" s="101"/>
      <c r="H1257" s="101"/>
      <c r="I1257" s="101"/>
      <c r="J1257" s="101"/>
      <c r="S1257" s="101"/>
      <c r="T1257" s="241"/>
      <c r="U1257" s="241"/>
      <c r="V1257" s="241"/>
      <c r="W1257" s="241"/>
      <c r="X1257" s="241"/>
      <c r="Y1257" s="241"/>
      <c r="Z1257" s="241"/>
    </row>
    <row r="1258" spans="3:26" ht="16.5">
      <c r="C1258" s="101"/>
      <c r="D1258" s="101"/>
      <c r="E1258" s="101"/>
      <c r="F1258" s="101"/>
      <c r="G1258" s="101"/>
      <c r="H1258" s="101"/>
      <c r="I1258" s="101"/>
      <c r="J1258" s="101"/>
      <c r="S1258" s="101"/>
      <c r="T1258" s="241"/>
      <c r="U1258" s="241"/>
      <c r="V1258" s="241"/>
      <c r="W1258" s="241"/>
      <c r="X1258" s="241"/>
      <c r="Y1258" s="241"/>
      <c r="Z1258" s="241"/>
    </row>
    <row r="1259" spans="3:26" ht="16.5">
      <c r="C1259" s="101"/>
      <c r="D1259" s="101"/>
      <c r="E1259" s="101"/>
      <c r="F1259" s="101"/>
      <c r="G1259" s="101"/>
      <c r="H1259" s="101"/>
      <c r="I1259" s="101"/>
      <c r="J1259" s="101"/>
      <c r="S1259" s="101"/>
      <c r="T1259" s="241"/>
      <c r="U1259" s="241"/>
      <c r="V1259" s="241"/>
      <c r="W1259" s="241"/>
      <c r="X1259" s="241"/>
      <c r="Y1259" s="241"/>
      <c r="Z1259" s="241"/>
    </row>
    <row r="1260" spans="3:26" ht="16.5">
      <c r="C1260" s="101"/>
      <c r="D1260" s="101"/>
      <c r="E1260" s="101"/>
      <c r="F1260" s="101"/>
      <c r="G1260" s="101"/>
      <c r="H1260" s="101"/>
      <c r="I1260" s="101"/>
      <c r="J1260" s="101"/>
      <c r="S1260" s="101"/>
      <c r="T1260" s="241"/>
      <c r="U1260" s="241"/>
      <c r="V1260" s="241"/>
      <c r="W1260" s="241"/>
      <c r="X1260" s="241"/>
      <c r="Y1260" s="241"/>
      <c r="Z1260" s="241"/>
    </row>
    <row r="1261" spans="3:26" ht="16.5">
      <c r="C1261" s="101"/>
      <c r="D1261" s="101"/>
      <c r="E1261" s="101"/>
      <c r="F1261" s="101"/>
      <c r="G1261" s="101"/>
      <c r="H1261" s="101"/>
      <c r="I1261" s="101"/>
      <c r="J1261" s="101"/>
      <c r="S1261" s="101"/>
      <c r="T1261" s="241"/>
      <c r="U1261" s="241"/>
      <c r="V1261" s="241"/>
      <c r="W1261" s="241"/>
      <c r="X1261" s="241"/>
      <c r="Y1261" s="241"/>
      <c r="Z1261" s="241"/>
    </row>
    <row r="1262" spans="3:26" ht="16.5">
      <c r="C1262" s="101"/>
      <c r="D1262" s="101"/>
      <c r="E1262" s="101"/>
      <c r="F1262" s="101"/>
      <c r="G1262" s="101"/>
      <c r="H1262" s="101"/>
      <c r="I1262" s="101"/>
      <c r="J1262" s="101"/>
      <c r="S1262" s="101"/>
      <c r="T1262" s="241"/>
      <c r="U1262" s="241"/>
      <c r="V1262" s="241"/>
      <c r="W1262" s="241"/>
      <c r="X1262" s="241"/>
      <c r="Y1262" s="241"/>
      <c r="Z1262" s="241"/>
    </row>
    <row r="1263" spans="3:26" ht="16.5">
      <c r="C1263" s="101"/>
      <c r="D1263" s="101"/>
      <c r="E1263" s="101"/>
      <c r="F1263" s="101"/>
      <c r="G1263" s="101"/>
      <c r="H1263" s="101"/>
      <c r="I1263" s="101"/>
      <c r="J1263" s="101"/>
      <c r="S1263" s="101"/>
      <c r="T1263" s="241"/>
      <c r="U1263" s="241"/>
      <c r="V1263" s="241"/>
      <c r="W1263" s="241"/>
      <c r="X1263" s="241"/>
      <c r="Y1263" s="241"/>
      <c r="Z1263" s="241"/>
    </row>
    <row r="1264" spans="3:26" ht="16.5">
      <c r="C1264" s="101"/>
      <c r="D1264" s="101"/>
      <c r="E1264" s="101"/>
      <c r="F1264" s="101"/>
      <c r="G1264" s="101"/>
      <c r="H1264" s="101"/>
      <c r="I1264" s="101"/>
      <c r="J1264" s="101"/>
      <c r="S1264" s="101"/>
      <c r="T1264" s="241"/>
      <c r="U1264" s="241"/>
      <c r="V1264" s="241"/>
      <c r="W1264" s="241"/>
      <c r="X1264" s="241"/>
      <c r="Y1264" s="241"/>
      <c r="Z1264" s="241"/>
    </row>
    <row r="1265" spans="3:26" ht="16.5">
      <c r="C1265" s="101"/>
      <c r="D1265" s="101"/>
      <c r="E1265" s="101"/>
      <c r="F1265" s="101"/>
      <c r="G1265" s="101"/>
      <c r="H1265" s="101"/>
      <c r="I1265" s="101"/>
      <c r="J1265" s="101"/>
      <c r="S1265" s="101"/>
      <c r="T1265" s="241"/>
      <c r="U1265" s="241"/>
      <c r="V1265" s="241"/>
      <c r="W1265" s="241"/>
      <c r="X1265" s="241"/>
      <c r="Y1265" s="241"/>
      <c r="Z1265" s="241"/>
    </row>
    <row r="1266" spans="3:26" ht="16.5">
      <c r="C1266" s="101"/>
      <c r="D1266" s="101"/>
      <c r="E1266" s="101"/>
      <c r="F1266" s="101"/>
      <c r="G1266" s="101"/>
      <c r="H1266" s="101"/>
      <c r="I1266" s="101"/>
      <c r="J1266" s="101"/>
      <c r="S1266" s="101"/>
      <c r="T1266" s="241"/>
      <c r="U1266" s="241"/>
      <c r="V1266" s="241"/>
      <c r="W1266" s="241"/>
      <c r="X1266" s="241"/>
      <c r="Y1266" s="241"/>
      <c r="Z1266" s="241"/>
    </row>
    <row r="1267" spans="3:26" ht="16.5">
      <c r="C1267" s="101"/>
      <c r="D1267" s="101"/>
      <c r="E1267" s="101"/>
      <c r="F1267" s="101"/>
      <c r="G1267" s="101"/>
      <c r="H1267" s="101"/>
      <c r="I1267" s="101"/>
      <c r="J1267" s="101"/>
      <c r="S1267" s="101"/>
      <c r="T1267" s="241"/>
      <c r="U1267" s="241"/>
      <c r="V1267" s="241"/>
      <c r="W1267" s="241"/>
      <c r="X1267" s="241"/>
      <c r="Y1267" s="241"/>
      <c r="Z1267" s="241"/>
    </row>
    <row r="1268" spans="3:26" ht="16.5">
      <c r="C1268" s="101"/>
      <c r="D1268" s="101"/>
      <c r="E1268" s="101"/>
      <c r="F1268" s="101"/>
      <c r="G1268" s="101"/>
      <c r="H1268" s="101"/>
      <c r="I1268" s="101"/>
      <c r="J1268" s="101"/>
      <c r="S1268" s="101"/>
      <c r="T1268" s="241"/>
      <c r="U1268" s="241"/>
      <c r="V1268" s="241"/>
      <c r="W1268" s="241"/>
      <c r="X1268" s="241"/>
      <c r="Y1268" s="241"/>
      <c r="Z1268" s="241"/>
    </row>
    <row r="1269" spans="3:26" ht="16.5">
      <c r="C1269" s="101"/>
      <c r="D1269" s="101"/>
      <c r="E1269" s="101"/>
      <c r="F1269" s="101"/>
      <c r="G1269" s="101"/>
      <c r="H1269" s="101"/>
      <c r="I1269" s="101"/>
      <c r="J1269" s="101"/>
      <c r="S1269" s="101"/>
      <c r="T1269" s="241"/>
      <c r="U1269" s="241"/>
      <c r="V1269" s="241"/>
      <c r="W1269" s="241"/>
      <c r="X1269" s="241"/>
      <c r="Y1269" s="241"/>
      <c r="Z1269" s="241"/>
    </row>
    <row r="1270" spans="3:26" ht="16.5">
      <c r="C1270" s="101"/>
      <c r="D1270" s="101"/>
      <c r="E1270" s="101"/>
      <c r="F1270" s="101"/>
      <c r="G1270" s="101"/>
      <c r="H1270" s="101"/>
      <c r="I1270" s="101"/>
      <c r="J1270" s="101"/>
      <c r="S1270" s="101"/>
      <c r="T1270" s="241"/>
      <c r="U1270" s="241"/>
      <c r="V1270" s="241"/>
      <c r="W1270" s="241"/>
      <c r="X1270" s="241"/>
      <c r="Y1270" s="241"/>
      <c r="Z1270" s="241"/>
    </row>
    <row r="1271" spans="3:26" ht="16.5">
      <c r="C1271" s="101"/>
      <c r="D1271" s="101"/>
      <c r="E1271" s="101"/>
      <c r="F1271" s="101"/>
      <c r="G1271" s="101"/>
      <c r="H1271" s="101"/>
      <c r="I1271" s="101"/>
      <c r="J1271" s="101"/>
      <c r="S1271" s="101"/>
      <c r="T1271" s="241"/>
      <c r="U1271" s="241"/>
      <c r="V1271" s="241"/>
      <c r="W1271" s="241"/>
      <c r="X1271" s="241"/>
      <c r="Y1271" s="241"/>
      <c r="Z1271" s="241"/>
    </row>
    <row r="1272" spans="3:26" ht="16.5">
      <c r="C1272" s="101"/>
      <c r="D1272" s="101"/>
      <c r="E1272" s="101"/>
      <c r="F1272" s="101"/>
      <c r="G1272" s="101"/>
      <c r="H1272" s="101"/>
      <c r="I1272" s="101"/>
      <c r="J1272" s="101"/>
      <c r="S1272" s="101"/>
      <c r="T1272" s="241"/>
      <c r="U1272" s="241"/>
      <c r="V1272" s="241"/>
      <c r="W1272" s="241"/>
      <c r="X1272" s="241"/>
      <c r="Y1272" s="241"/>
      <c r="Z1272" s="241"/>
    </row>
    <row r="1273" spans="3:26" ht="16.5">
      <c r="C1273" s="101"/>
      <c r="D1273" s="101"/>
      <c r="E1273" s="101"/>
      <c r="F1273" s="101"/>
      <c r="G1273" s="101"/>
      <c r="H1273" s="101"/>
      <c r="I1273" s="101"/>
      <c r="J1273" s="101"/>
      <c r="S1273" s="101"/>
      <c r="T1273" s="241"/>
      <c r="U1273" s="241"/>
      <c r="V1273" s="241"/>
      <c r="W1273" s="241"/>
      <c r="X1273" s="241"/>
      <c r="Y1273" s="241"/>
      <c r="Z1273" s="241"/>
    </row>
    <row r="1274" spans="3:26" ht="16.5">
      <c r="C1274" s="101"/>
      <c r="D1274" s="101"/>
      <c r="E1274" s="101"/>
      <c r="F1274" s="101"/>
      <c r="G1274" s="101"/>
      <c r="H1274" s="101"/>
      <c r="I1274" s="101"/>
      <c r="J1274" s="101"/>
      <c r="S1274" s="101"/>
      <c r="T1274" s="241"/>
      <c r="U1274" s="241"/>
      <c r="V1274" s="241"/>
      <c r="W1274" s="241"/>
      <c r="X1274" s="241"/>
      <c r="Y1274" s="241"/>
      <c r="Z1274" s="241"/>
    </row>
    <row r="1275" spans="3:26" ht="16.5">
      <c r="C1275" s="101"/>
      <c r="D1275" s="101"/>
      <c r="E1275" s="101"/>
      <c r="F1275" s="101"/>
      <c r="G1275" s="101"/>
      <c r="H1275" s="101"/>
      <c r="I1275" s="101"/>
      <c r="J1275" s="101"/>
      <c r="S1275" s="101"/>
      <c r="T1275" s="241"/>
      <c r="U1275" s="241"/>
      <c r="V1275" s="241"/>
      <c r="W1275" s="241"/>
      <c r="X1275" s="241"/>
      <c r="Y1275" s="241"/>
      <c r="Z1275" s="241"/>
    </row>
    <row r="1276" spans="3:26" ht="16.5">
      <c r="C1276" s="101"/>
      <c r="D1276" s="101"/>
      <c r="E1276" s="101"/>
      <c r="F1276" s="101"/>
      <c r="G1276" s="101"/>
      <c r="H1276" s="101"/>
      <c r="I1276" s="101"/>
      <c r="J1276" s="101"/>
      <c r="S1276" s="101"/>
      <c r="T1276" s="241"/>
      <c r="U1276" s="241"/>
      <c r="V1276" s="241"/>
      <c r="W1276" s="241"/>
      <c r="X1276" s="241"/>
      <c r="Y1276" s="241"/>
      <c r="Z1276" s="241"/>
    </row>
    <row r="1277" spans="3:26" ht="16.5">
      <c r="C1277" s="101"/>
      <c r="D1277" s="101"/>
      <c r="E1277" s="101"/>
      <c r="F1277" s="101"/>
      <c r="G1277" s="101"/>
      <c r="H1277" s="101"/>
      <c r="I1277" s="101"/>
      <c r="J1277" s="101"/>
      <c r="S1277" s="101"/>
      <c r="T1277" s="241"/>
      <c r="U1277" s="241"/>
      <c r="V1277" s="241"/>
      <c r="W1277" s="241"/>
      <c r="X1277" s="241"/>
      <c r="Y1277" s="241"/>
      <c r="Z1277" s="241"/>
    </row>
    <row r="1278" spans="3:26" ht="16.5">
      <c r="C1278" s="101"/>
      <c r="D1278" s="101"/>
      <c r="E1278" s="101"/>
      <c r="F1278" s="101"/>
      <c r="G1278" s="101"/>
      <c r="H1278" s="101"/>
      <c r="I1278" s="101"/>
      <c r="J1278" s="101"/>
      <c r="S1278" s="101"/>
      <c r="T1278" s="241"/>
      <c r="U1278" s="241"/>
      <c r="V1278" s="241"/>
      <c r="W1278" s="241"/>
      <c r="X1278" s="241"/>
      <c r="Y1278" s="241"/>
      <c r="Z1278" s="241"/>
    </row>
    <row r="1279" spans="3:26" ht="16.5">
      <c r="C1279" s="101"/>
      <c r="D1279" s="101"/>
      <c r="E1279" s="101"/>
      <c r="F1279" s="101"/>
      <c r="G1279" s="101"/>
      <c r="H1279" s="101"/>
      <c r="I1279" s="101"/>
      <c r="J1279" s="101"/>
      <c r="S1279" s="101"/>
      <c r="T1279" s="241"/>
      <c r="U1279" s="241"/>
      <c r="V1279" s="241"/>
      <c r="W1279" s="241"/>
      <c r="X1279" s="241"/>
      <c r="Y1279" s="241"/>
      <c r="Z1279" s="241"/>
    </row>
    <row r="1280" spans="3:26" ht="16.5">
      <c r="C1280" s="101"/>
      <c r="D1280" s="101"/>
      <c r="E1280" s="101"/>
      <c r="F1280" s="101"/>
      <c r="G1280" s="101"/>
      <c r="H1280" s="101"/>
      <c r="I1280" s="101"/>
      <c r="J1280" s="101"/>
      <c r="S1280" s="101"/>
      <c r="T1280" s="241"/>
      <c r="U1280" s="241"/>
      <c r="V1280" s="241"/>
      <c r="W1280" s="241"/>
      <c r="X1280" s="241"/>
      <c r="Y1280" s="241"/>
      <c r="Z1280" s="241"/>
    </row>
    <row r="1281" spans="3:26" ht="16.5">
      <c r="C1281" s="101"/>
      <c r="D1281" s="101"/>
      <c r="E1281" s="101"/>
      <c r="F1281" s="101"/>
      <c r="G1281" s="101"/>
      <c r="H1281" s="101"/>
      <c r="I1281" s="101"/>
      <c r="J1281" s="101"/>
      <c r="S1281" s="101"/>
      <c r="T1281" s="241"/>
      <c r="U1281" s="241"/>
      <c r="V1281" s="241"/>
      <c r="W1281" s="241"/>
      <c r="X1281" s="241"/>
      <c r="Y1281" s="241"/>
      <c r="Z1281" s="241"/>
    </row>
    <row r="1282" spans="3:26" ht="16.5">
      <c r="C1282" s="101"/>
      <c r="D1282" s="101"/>
      <c r="E1282" s="101"/>
      <c r="F1282" s="101"/>
      <c r="G1282" s="101"/>
      <c r="H1282" s="101"/>
      <c r="I1282" s="101"/>
      <c r="J1282" s="101"/>
      <c r="S1282" s="101"/>
      <c r="T1282" s="241"/>
      <c r="U1282" s="241"/>
      <c r="V1282" s="241"/>
      <c r="W1282" s="241"/>
      <c r="X1282" s="241"/>
      <c r="Y1282" s="241"/>
      <c r="Z1282" s="241"/>
    </row>
    <row r="1283" spans="3:26" ht="16.5">
      <c r="C1283" s="101"/>
      <c r="D1283" s="101"/>
      <c r="E1283" s="101"/>
      <c r="F1283" s="101"/>
      <c r="G1283" s="101"/>
      <c r="H1283" s="101"/>
      <c r="I1283" s="101"/>
      <c r="J1283" s="101"/>
      <c r="S1283" s="101"/>
      <c r="T1283" s="241"/>
      <c r="U1283" s="241"/>
      <c r="V1283" s="241"/>
      <c r="W1283" s="241"/>
      <c r="X1283" s="241"/>
      <c r="Y1283" s="241"/>
      <c r="Z1283" s="241"/>
    </row>
    <row r="1284" spans="3:26" ht="16.5">
      <c r="C1284" s="101"/>
      <c r="D1284" s="101"/>
      <c r="E1284" s="101"/>
      <c r="F1284" s="101"/>
      <c r="G1284" s="101"/>
      <c r="H1284" s="101"/>
      <c r="I1284" s="101"/>
      <c r="J1284" s="101"/>
      <c r="S1284" s="101"/>
      <c r="T1284" s="241"/>
      <c r="U1284" s="241"/>
      <c r="V1284" s="241"/>
      <c r="W1284" s="241"/>
      <c r="X1284" s="241"/>
      <c r="Y1284" s="241"/>
      <c r="Z1284" s="241"/>
    </row>
    <row r="1285" spans="3:26" ht="16.5">
      <c r="C1285" s="101"/>
      <c r="D1285" s="101"/>
      <c r="E1285" s="101"/>
      <c r="F1285" s="101"/>
      <c r="G1285" s="101"/>
      <c r="H1285" s="101"/>
      <c r="I1285" s="101"/>
      <c r="J1285" s="101"/>
      <c r="S1285" s="101"/>
      <c r="T1285" s="241"/>
      <c r="U1285" s="241"/>
      <c r="V1285" s="241"/>
      <c r="W1285" s="241"/>
      <c r="X1285" s="241"/>
      <c r="Y1285" s="241"/>
      <c r="Z1285" s="241"/>
    </row>
    <row r="1286" spans="3:26" ht="16.5">
      <c r="C1286" s="101"/>
      <c r="D1286" s="101"/>
      <c r="E1286" s="101"/>
      <c r="F1286" s="101"/>
      <c r="G1286" s="101"/>
      <c r="H1286" s="101"/>
      <c r="I1286" s="101"/>
      <c r="J1286" s="101"/>
      <c r="S1286" s="101"/>
      <c r="T1286" s="241"/>
      <c r="U1286" s="241"/>
      <c r="V1286" s="241"/>
      <c r="W1286" s="241"/>
      <c r="X1286" s="241"/>
      <c r="Y1286" s="241"/>
      <c r="Z1286" s="241"/>
    </row>
    <row r="1287" spans="3:26" ht="16.5">
      <c r="C1287" s="101"/>
      <c r="D1287" s="101"/>
      <c r="E1287" s="101"/>
      <c r="F1287" s="101"/>
      <c r="G1287" s="101"/>
      <c r="H1287" s="101"/>
      <c r="I1287" s="101"/>
      <c r="J1287" s="101"/>
      <c r="S1287" s="101"/>
      <c r="T1287" s="241"/>
      <c r="U1287" s="241"/>
      <c r="V1287" s="241"/>
      <c r="W1287" s="241"/>
      <c r="X1287" s="241"/>
      <c r="Y1287" s="241"/>
      <c r="Z1287" s="241"/>
    </row>
    <row r="1288" spans="3:26" ht="16.5">
      <c r="C1288" s="101"/>
      <c r="D1288" s="101"/>
      <c r="E1288" s="101"/>
      <c r="F1288" s="101"/>
      <c r="G1288" s="101"/>
      <c r="H1288" s="101"/>
      <c r="I1288" s="101"/>
      <c r="J1288" s="101"/>
      <c r="S1288" s="101"/>
      <c r="T1288" s="241"/>
      <c r="U1288" s="241"/>
      <c r="V1288" s="241"/>
      <c r="W1288" s="241"/>
      <c r="X1288" s="241"/>
      <c r="Y1288" s="241"/>
      <c r="Z1288" s="241"/>
    </row>
    <row r="1289" spans="3:26" ht="16.5">
      <c r="C1289" s="101"/>
      <c r="D1289" s="101"/>
      <c r="E1289" s="101"/>
      <c r="F1289" s="101"/>
      <c r="G1289" s="101"/>
      <c r="H1289" s="101"/>
      <c r="I1289" s="101"/>
      <c r="J1289" s="101"/>
      <c r="S1289" s="101"/>
      <c r="T1289" s="241"/>
      <c r="U1289" s="241"/>
      <c r="V1289" s="241"/>
      <c r="W1289" s="241"/>
      <c r="X1289" s="241"/>
      <c r="Y1289" s="241"/>
      <c r="Z1289" s="241"/>
    </row>
    <row r="1290" spans="3:26" ht="16.5">
      <c r="C1290" s="101"/>
      <c r="D1290" s="101"/>
      <c r="E1290" s="101"/>
      <c r="F1290" s="101"/>
      <c r="G1290" s="101"/>
      <c r="H1290" s="101"/>
      <c r="I1290" s="101"/>
      <c r="J1290" s="101"/>
      <c r="S1290" s="101"/>
      <c r="T1290" s="241"/>
      <c r="U1290" s="241"/>
      <c r="V1290" s="241"/>
      <c r="W1290" s="241"/>
      <c r="X1290" s="241"/>
      <c r="Y1290" s="241"/>
      <c r="Z1290" s="241"/>
    </row>
    <row r="1291" spans="3:26" ht="16.5">
      <c r="C1291" s="101"/>
      <c r="D1291" s="101"/>
      <c r="E1291" s="101"/>
      <c r="F1291" s="101"/>
      <c r="G1291" s="101"/>
      <c r="H1291" s="101"/>
      <c r="I1291" s="101"/>
      <c r="J1291" s="101"/>
      <c r="S1291" s="101"/>
      <c r="T1291" s="241"/>
      <c r="U1291" s="241"/>
      <c r="V1291" s="241"/>
      <c r="W1291" s="241"/>
      <c r="X1291" s="241"/>
      <c r="Y1291" s="241"/>
      <c r="Z1291" s="241"/>
    </row>
    <row r="1292" spans="3:26" ht="16.5">
      <c r="C1292" s="101"/>
      <c r="D1292" s="101"/>
      <c r="E1292" s="101"/>
      <c r="F1292" s="101"/>
      <c r="G1292" s="101"/>
      <c r="H1292" s="101"/>
      <c r="I1292" s="101"/>
      <c r="J1292" s="101"/>
      <c r="S1292" s="101"/>
      <c r="T1292" s="241"/>
      <c r="U1292" s="241"/>
      <c r="V1292" s="241"/>
      <c r="W1292" s="241"/>
      <c r="X1292" s="241"/>
      <c r="Y1292" s="241"/>
      <c r="Z1292" s="241"/>
    </row>
    <row r="1293" spans="3:26" ht="16.5">
      <c r="C1293" s="101"/>
      <c r="D1293" s="101"/>
      <c r="E1293" s="101"/>
      <c r="F1293" s="101"/>
      <c r="G1293" s="101"/>
      <c r="H1293" s="101"/>
      <c r="I1293" s="101"/>
      <c r="J1293" s="101"/>
      <c r="S1293" s="101"/>
      <c r="T1293" s="241"/>
      <c r="U1293" s="241"/>
      <c r="V1293" s="241"/>
      <c r="W1293" s="241"/>
      <c r="X1293" s="241"/>
      <c r="Y1293" s="241"/>
      <c r="Z1293" s="241"/>
    </row>
    <row r="1294" spans="3:26" ht="16.5">
      <c r="C1294" s="101"/>
      <c r="D1294" s="101"/>
      <c r="E1294" s="101"/>
      <c r="F1294" s="101"/>
      <c r="G1294" s="101"/>
      <c r="H1294" s="101"/>
      <c r="I1294" s="101"/>
      <c r="J1294" s="101"/>
      <c r="S1294" s="101"/>
      <c r="T1294" s="241"/>
      <c r="U1294" s="241"/>
      <c r="V1294" s="241"/>
      <c r="W1294" s="241"/>
      <c r="X1294" s="241"/>
      <c r="Y1294" s="241"/>
      <c r="Z1294" s="241"/>
    </row>
    <row r="1295" spans="3:26" ht="16.5">
      <c r="C1295" s="101"/>
      <c r="D1295" s="101"/>
      <c r="E1295" s="101"/>
      <c r="F1295" s="101"/>
      <c r="G1295" s="101"/>
      <c r="H1295" s="101"/>
      <c r="I1295" s="101"/>
      <c r="J1295" s="101"/>
      <c r="S1295" s="101"/>
      <c r="T1295" s="241"/>
      <c r="U1295" s="241"/>
      <c r="V1295" s="241"/>
      <c r="W1295" s="241"/>
      <c r="X1295" s="241"/>
      <c r="Y1295" s="241"/>
      <c r="Z1295" s="241"/>
    </row>
    <row r="1296" spans="3:26" ht="16.5">
      <c r="C1296" s="101"/>
      <c r="D1296" s="101"/>
      <c r="E1296" s="101"/>
      <c r="F1296" s="101"/>
      <c r="G1296" s="101"/>
      <c r="H1296" s="101"/>
      <c r="I1296" s="101"/>
      <c r="J1296" s="101"/>
      <c r="S1296" s="101"/>
      <c r="T1296" s="241"/>
      <c r="U1296" s="241"/>
      <c r="V1296" s="241"/>
      <c r="W1296" s="241"/>
      <c r="X1296" s="241"/>
      <c r="Y1296" s="241"/>
      <c r="Z1296" s="241"/>
    </row>
    <row r="1297" spans="3:26" ht="16.5">
      <c r="C1297" s="101"/>
      <c r="D1297" s="101"/>
      <c r="E1297" s="101"/>
      <c r="F1297" s="101"/>
      <c r="G1297" s="101"/>
      <c r="H1297" s="101"/>
      <c r="I1297" s="101"/>
      <c r="J1297" s="101"/>
      <c r="S1297" s="101"/>
      <c r="T1297" s="241"/>
      <c r="U1297" s="241"/>
      <c r="V1297" s="241"/>
      <c r="W1297" s="241"/>
      <c r="X1297" s="241"/>
      <c r="Y1297" s="241"/>
      <c r="Z1297" s="241"/>
    </row>
    <row r="1298" spans="3:26" ht="16.5">
      <c r="C1298" s="101"/>
      <c r="D1298" s="101"/>
      <c r="E1298" s="101"/>
      <c r="F1298" s="101"/>
      <c r="G1298" s="101"/>
      <c r="H1298" s="101"/>
      <c r="I1298" s="101"/>
      <c r="J1298" s="101"/>
      <c r="S1298" s="101"/>
      <c r="T1298" s="241"/>
      <c r="U1298" s="241"/>
      <c r="V1298" s="241"/>
      <c r="W1298" s="241"/>
      <c r="X1298" s="241"/>
      <c r="Y1298" s="241"/>
      <c r="Z1298" s="241"/>
    </row>
    <row r="1299" spans="3:26" ht="16.5">
      <c r="C1299" s="101"/>
      <c r="D1299" s="101"/>
      <c r="E1299" s="101"/>
      <c r="F1299" s="101"/>
      <c r="G1299" s="101"/>
      <c r="H1299" s="101"/>
      <c r="I1299" s="101"/>
      <c r="J1299" s="101"/>
      <c r="S1299" s="101"/>
      <c r="T1299" s="241"/>
      <c r="U1299" s="241"/>
      <c r="V1299" s="241"/>
      <c r="W1299" s="241"/>
      <c r="X1299" s="241"/>
      <c r="Y1299" s="241"/>
      <c r="Z1299" s="241"/>
    </row>
    <row r="1300" spans="3:26" ht="16.5">
      <c r="C1300" s="101"/>
      <c r="D1300" s="101"/>
      <c r="E1300" s="101"/>
      <c r="F1300" s="101"/>
      <c r="G1300" s="101"/>
      <c r="H1300" s="101"/>
      <c r="I1300" s="101"/>
      <c r="J1300" s="101"/>
      <c r="S1300" s="101"/>
      <c r="T1300" s="241"/>
      <c r="U1300" s="241"/>
      <c r="V1300" s="241"/>
      <c r="W1300" s="241"/>
      <c r="X1300" s="241"/>
      <c r="Y1300" s="241"/>
      <c r="Z1300" s="241"/>
    </row>
    <row r="1301" spans="3:26" ht="16.5">
      <c r="C1301" s="101"/>
      <c r="D1301" s="101"/>
      <c r="E1301" s="101"/>
      <c r="F1301" s="101"/>
      <c r="G1301" s="101"/>
      <c r="H1301" s="101"/>
      <c r="I1301" s="101"/>
      <c r="J1301" s="101"/>
      <c r="S1301" s="101"/>
      <c r="T1301" s="241"/>
      <c r="U1301" s="241"/>
      <c r="V1301" s="241"/>
      <c r="W1301" s="241"/>
      <c r="X1301" s="241"/>
      <c r="Y1301" s="241"/>
      <c r="Z1301" s="241"/>
    </row>
    <row r="1302" spans="3:26" ht="16.5">
      <c r="C1302" s="101"/>
      <c r="D1302" s="101"/>
      <c r="E1302" s="101"/>
      <c r="F1302" s="101"/>
      <c r="G1302" s="101"/>
      <c r="H1302" s="101"/>
      <c r="I1302" s="101"/>
      <c r="J1302" s="101"/>
      <c r="S1302" s="101"/>
      <c r="T1302" s="241"/>
      <c r="U1302" s="241"/>
      <c r="V1302" s="241"/>
      <c r="W1302" s="241"/>
      <c r="X1302" s="241"/>
      <c r="Y1302" s="241"/>
      <c r="Z1302" s="241"/>
    </row>
    <row r="1303" spans="3:26" ht="16.5">
      <c r="C1303" s="101"/>
      <c r="D1303" s="101"/>
      <c r="E1303" s="101"/>
      <c r="F1303" s="101"/>
      <c r="G1303" s="101"/>
      <c r="H1303" s="101"/>
      <c r="I1303" s="101"/>
      <c r="J1303" s="101"/>
      <c r="S1303" s="101"/>
      <c r="T1303" s="241"/>
      <c r="U1303" s="241"/>
      <c r="V1303" s="241"/>
      <c r="W1303" s="241"/>
      <c r="X1303" s="241"/>
      <c r="Y1303" s="241"/>
      <c r="Z1303" s="241"/>
    </row>
    <row r="1304" spans="3:26" ht="16.5">
      <c r="C1304" s="101"/>
      <c r="D1304" s="101"/>
      <c r="E1304" s="101"/>
      <c r="F1304" s="101"/>
      <c r="G1304" s="101"/>
      <c r="H1304" s="101"/>
      <c r="I1304" s="101"/>
      <c r="J1304" s="101"/>
      <c r="S1304" s="101"/>
      <c r="T1304" s="241"/>
      <c r="U1304" s="241"/>
      <c r="V1304" s="241"/>
      <c r="W1304" s="241"/>
      <c r="X1304" s="241"/>
      <c r="Y1304" s="241"/>
      <c r="Z1304" s="241"/>
    </row>
    <row r="1305" spans="3:26" ht="16.5">
      <c r="C1305" s="101"/>
      <c r="D1305" s="101"/>
      <c r="E1305" s="101"/>
      <c r="F1305" s="101"/>
      <c r="G1305" s="101"/>
      <c r="H1305" s="101"/>
      <c r="I1305" s="101"/>
      <c r="J1305" s="101"/>
      <c r="S1305" s="101"/>
      <c r="T1305" s="241"/>
      <c r="U1305" s="241"/>
      <c r="V1305" s="241"/>
      <c r="W1305" s="241"/>
      <c r="X1305" s="241"/>
      <c r="Y1305" s="241"/>
      <c r="Z1305" s="241"/>
    </row>
    <row r="1306" spans="3:26" ht="16.5">
      <c r="C1306" s="101"/>
      <c r="D1306" s="101"/>
      <c r="E1306" s="101"/>
      <c r="F1306" s="101"/>
      <c r="G1306" s="101"/>
      <c r="H1306" s="101"/>
      <c r="I1306" s="101"/>
      <c r="J1306" s="101"/>
      <c r="S1306" s="101"/>
      <c r="T1306" s="241"/>
      <c r="U1306" s="241"/>
      <c r="V1306" s="241"/>
      <c r="W1306" s="241"/>
      <c r="X1306" s="241"/>
      <c r="Y1306" s="241"/>
      <c r="Z1306" s="241"/>
    </row>
    <row r="1307" spans="3:26" ht="16.5">
      <c r="C1307" s="101"/>
      <c r="D1307" s="101"/>
      <c r="E1307" s="101"/>
      <c r="F1307" s="101"/>
      <c r="G1307" s="101"/>
      <c r="H1307" s="101"/>
      <c r="I1307" s="101"/>
      <c r="J1307" s="101"/>
      <c r="S1307" s="101"/>
      <c r="T1307" s="241"/>
      <c r="U1307" s="241"/>
      <c r="V1307" s="241"/>
      <c r="W1307" s="241"/>
      <c r="X1307" s="241"/>
      <c r="Y1307" s="241"/>
      <c r="Z1307" s="241"/>
    </row>
    <row r="1308" spans="3:26" ht="16.5">
      <c r="C1308" s="101"/>
      <c r="D1308" s="101"/>
      <c r="E1308" s="101"/>
      <c r="F1308" s="101"/>
      <c r="G1308" s="101"/>
      <c r="H1308" s="101"/>
      <c r="I1308" s="101"/>
      <c r="J1308" s="101"/>
      <c r="S1308" s="101"/>
      <c r="T1308" s="241"/>
      <c r="U1308" s="241"/>
      <c r="V1308" s="241"/>
      <c r="W1308" s="241"/>
      <c r="X1308" s="241"/>
      <c r="Y1308" s="241"/>
      <c r="Z1308" s="241"/>
    </row>
    <row r="1309" spans="3:26" ht="16.5">
      <c r="C1309" s="101"/>
      <c r="D1309" s="101"/>
      <c r="E1309" s="101"/>
      <c r="F1309" s="101"/>
      <c r="G1309" s="101"/>
      <c r="H1309" s="101"/>
      <c r="I1309" s="101"/>
      <c r="J1309" s="101"/>
      <c r="S1309" s="101"/>
      <c r="T1309" s="241"/>
      <c r="U1309" s="241"/>
      <c r="V1309" s="241"/>
      <c r="W1309" s="241"/>
      <c r="X1309" s="241"/>
      <c r="Y1309" s="241"/>
      <c r="Z1309" s="241"/>
    </row>
    <row r="1310" spans="3:26" ht="16.5">
      <c r="C1310" s="101"/>
      <c r="D1310" s="101"/>
      <c r="E1310" s="101"/>
      <c r="F1310" s="101"/>
      <c r="G1310" s="101"/>
      <c r="H1310" s="101"/>
      <c r="I1310" s="101"/>
      <c r="J1310" s="101"/>
      <c r="S1310" s="101"/>
      <c r="T1310" s="241"/>
      <c r="U1310" s="241"/>
      <c r="V1310" s="241"/>
      <c r="W1310" s="241"/>
      <c r="X1310" s="241"/>
      <c r="Y1310" s="241"/>
      <c r="Z1310" s="241"/>
    </row>
    <row r="1311" spans="3:26" ht="16.5">
      <c r="C1311" s="101"/>
      <c r="D1311" s="101"/>
      <c r="E1311" s="101"/>
      <c r="F1311" s="101"/>
      <c r="G1311" s="101"/>
      <c r="H1311" s="101"/>
      <c r="I1311" s="101"/>
      <c r="J1311" s="101"/>
      <c r="S1311" s="101"/>
      <c r="T1311" s="241"/>
      <c r="U1311" s="241"/>
      <c r="V1311" s="241"/>
      <c r="W1311" s="241"/>
      <c r="X1311" s="241"/>
      <c r="Y1311" s="241"/>
      <c r="Z1311" s="241"/>
    </row>
    <row r="1312" spans="3:26" ht="16.5">
      <c r="C1312" s="101"/>
      <c r="D1312" s="101"/>
      <c r="E1312" s="101"/>
      <c r="F1312" s="101"/>
      <c r="G1312" s="101"/>
      <c r="H1312" s="101"/>
      <c r="I1312" s="101"/>
      <c r="J1312" s="101"/>
      <c r="S1312" s="101"/>
      <c r="T1312" s="241"/>
      <c r="U1312" s="241"/>
      <c r="V1312" s="241"/>
      <c r="W1312" s="241"/>
      <c r="X1312" s="241"/>
      <c r="Y1312" s="241"/>
      <c r="Z1312" s="241"/>
    </row>
    <row r="1313" spans="3:26" ht="16.5">
      <c r="C1313" s="101"/>
      <c r="D1313" s="101"/>
      <c r="E1313" s="101"/>
      <c r="F1313" s="101"/>
      <c r="G1313" s="101"/>
      <c r="H1313" s="101"/>
      <c r="I1313" s="101"/>
      <c r="J1313" s="101"/>
      <c r="S1313" s="101"/>
      <c r="T1313" s="241"/>
      <c r="U1313" s="241"/>
      <c r="V1313" s="241"/>
      <c r="W1313" s="241"/>
      <c r="X1313" s="241"/>
      <c r="Y1313" s="241"/>
      <c r="Z1313" s="241"/>
    </row>
    <row r="1314" spans="3:26" ht="16.5">
      <c r="C1314" s="101"/>
      <c r="D1314" s="101"/>
      <c r="E1314" s="101"/>
      <c r="F1314" s="101"/>
      <c r="G1314" s="101"/>
      <c r="H1314" s="101"/>
      <c r="I1314" s="101"/>
      <c r="J1314" s="101"/>
      <c r="S1314" s="101"/>
      <c r="T1314" s="241"/>
      <c r="U1314" s="241"/>
      <c r="V1314" s="241"/>
      <c r="W1314" s="241"/>
      <c r="X1314" s="241"/>
      <c r="Y1314" s="241"/>
      <c r="Z1314" s="241"/>
    </row>
    <row r="1315" spans="3:26" ht="16.5">
      <c r="C1315" s="101"/>
      <c r="D1315" s="101"/>
      <c r="E1315" s="101"/>
      <c r="F1315" s="101"/>
      <c r="G1315" s="101"/>
      <c r="H1315" s="101"/>
      <c r="I1315" s="101"/>
      <c r="J1315" s="101"/>
      <c r="S1315" s="101"/>
      <c r="T1315" s="241"/>
      <c r="U1315" s="241"/>
      <c r="V1315" s="241"/>
      <c r="W1315" s="241"/>
      <c r="X1315" s="241"/>
      <c r="Y1315" s="241"/>
      <c r="Z1315" s="241"/>
    </row>
    <row r="1316" spans="3:26" ht="16.5">
      <c r="C1316" s="101"/>
      <c r="D1316" s="101"/>
      <c r="E1316" s="101"/>
      <c r="F1316" s="101"/>
      <c r="G1316" s="101"/>
      <c r="H1316" s="101"/>
      <c r="I1316" s="101"/>
      <c r="J1316" s="101"/>
      <c r="S1316" s="101"/>
      <c r="T1316" s="241"/>
      <c r="U1316" s="241"/>
      <c r="V1316" s="241"/>
      <c r="W1316" s="241"/>
      <c r="X1316" s="241"/>
      <c r="Y1316" s="241"/>
      <c r="Z1316" s="241"/>
    </row>
    <row r="1317" spans="3:26" ht="16.5">
      <c r="C1317" s="101"/>
      <c r="D1317" s="101"/>
      <c r="E1317" s="101"/>
      <c r="F1317" s="101"/>
      <c r="G1317" s="101"/>
      <c r="H1317" s="101"/>
      <c r="I1317" s="101"/>
      <c r="J1317" s="101"/>
      <c r="S1317" s="101"/>
      <c r="T1317" s="241"/>
      <c r="U1317" s="241"/>
      <c r="V1317" s="241"/>
      <c r="W1317" s="241"/>
      <c r="X1317" s="241"/>
      <c r="Y1317" s="241"/>
      <c r="Z1317" s="241"/>
    </row>
    <row r="1318" spans="3:26" ht="16.5">
      <c r="C1318" s="101"/>
      <c r="D1318" s="101"/>
      <c r="E1318" s="101"/>
      <c r="F1318" s="101"/>
      <c r="G1318" s="101"/>
      <c r="H1318" s="101"/>
      <c r="I1318" s="101"/>
      <c r="J1318" s="101"/>
      <c r="S1318" s="101"/>
      <c r="T1318" s="241"/>
      <c r="U1318" s="241"/>
      <c r="V1318" s="241"/>
      <c r="W1318" s="241"/>
      <c r="X1318" s="241"/>
      <c r="Y1318" s="241"/>
      <c r="Z1318" s="241"/>
    </row>
    <row r="1319" spans="3:26" ht="16.5">
      <c r="C1319" s="101"/>
      <c r="D1319" s="101"/>
      <c r="E1319" s="101"/>
      <c r="F1319" s="101"/>
      <c r="G1319" s="101"/>
      <c r="H1319" s="101"/>
      <c r="I1319" s="101"/>
      <c r="J1319" s="101"/>
      <c r="S1319" s="101"/>
      <c r="T1319" s="241"/>
      <c r="U1319" s="241"/>
      <c r="V1319" s="241"/>
      <c r="W1319" s="241"/>
      <c r="X1319" s="241"/>
      <c r="Y1319" s="241"/>
      <c r="Z1319" s="241"/>
    </row>
    <row r="1320" spans="3:26" ht="16.5">
      <c r="C1320" s="101"/>
      <c r="D1320" s="101"/>
      <c r="E1320" s="101"/>
      <c r="F1320" s="101"/>
      <c r="G1320" s="101"/>
      <c r="H1320" s="101"/>
      <c r="I1320" s="101"/>
      <c r="J1320" s="101"/>
      <c r="S1320" s="101"/>
      <c r="T1320" s="241"/>
      <c r="U1320" s="241"/>
      <c r="V1320" s="241"/>
      <c r="W1320" s="241"/>
      <c r="X1320" s="241"/>
      <c r="Y1320" s="241"/>
      <c r="Z1320" s="241"/>
    </row>
    <row r="1321" spans="3:26" ht="16.5">
      <c r="C1321" s="101"/>
      <c r="D1321" s="101"/>
      <c r="E1321" s="101"/>
      <c r="F1321" s="101"/>
      <c r="G1321" s="101"/>
      <c r="H1321" s="101"/>
      <c r="I1321" s="101"/>
      <c r="J1321" s="101"/>
      <c r="S1321" s="101"/>
      <c r="T1321" s="241"/>
      <c r="U1321" s="241"/>
      <c r="V1321" s="241"/>
      <c r="W1321" s="241"/>
      <c r="X1321" s="241"/>
      <c r="Y1321" s="241"/>
      <c r="Z1321" s="241"/>
    </row>
    <row r="1322" spans="3:26" ht="16.5">
      <c r="C1322" s="101"/>
      <c r="D1322" s="101"/>
      <c r="E1322" s="101"/>
      <c r="F1322" s="101"/>
      <c r="G1322" s="101"/>
      <c r="H1322" s="101"/>
      <c r="I1322" s="101"/>
      <c r="J1322" s="101"/>
      <c r="S1322" s="101"/>
      <c r="T1322" s="241"/>
      <c r="U1322" s="241"/>
      <c r="V1322" s="241"/>
      <c r="W1322" s="241"/>
      <c r="X1322" s="241"/>
      <c r="Y1322" s="241"/>
      <c r="Z1322" s="241"/>
    </row>
    <row r="1323" spans="3:26" ht="16.5">
      <c r="C1323" s="101"/>
      <c r="D1323" s="101"/>
      <c r="E1323" s="101"/>
      <c r="F1323" s="101"/>
      <c r="G1323" s="101"/>
      <c r="H1323" s="101"/>
      <c r="I1323" s="101"/>
      <c r="J1323" s="101"/>
      <c r="S1323" s="101"/>
      <c r="T1323" s="241"/>
      <c r="U1323" s="241"/>
      <c r="V1323" s="241"/>
      <c r="W1323" s="241"/>
      <c r="X1323" s="241"/>
      <c r="Y1323" s="241"/>
      <c r="Z1323" s="241"/>
    </row>
    <row r="1324" spans="3:26" ht="16.5">
      <c r="C1324" s="101"/>
      <c r="D1324" s="101"/>
      <c r="E1324" s="101"/>
      <c r="F1324" s="101"/>
      <c r="G1324" s="101"/>
      <c r="H1324" s="101"/>
      <c r="I1324" s="101"/>
      <c r="J1324" s="101"/>
      <c r="S1324" s="101"/>
      <c r="T1324" s="241"/>
      <c r="U1324" s="241"/>
      <c r="V1324" s="241"/>
      <c r="W1324" s="241"/>
      <c r="X1324" s="241"/>
      <c r="Y1324" s="241"/>
      <c r="Z1324" s="241"/>
    </row>
    <row r="1325" spans="3:26" ht="16.5">
      <c r="C1325" s="101"/>
      <c r="D1325" s="101"/>
      <c r="E1325" s="101"/>
      <c r="F1325" s="101"/>
      <c r="G1325" s="101"/>
      <c r="H1325" s="101"/>
      <c r="I1325" s="101"/>
      <c r="J1325" s="101"/>
      <c r="S1325" s="101"/>
      <c r="T1325" s="241"/>
      <c r="U1325" s="241"/>
      <c r="V1325" s="241"/>
      <c r="W1325" s="241"/>
      <c r="X1325" s="241"/>
      <c r="Y1325" s="241"/>
      <c r="Z1325" s="241"/>
    </row>
    <row r="1326" spans="3:26" ht="16.5">
      <c r="C1326" s="101"/>
      <c r="D1326" s="101"/>
      <c r="E1326" s="101"/>
      <c r="F1326" s="101"/>
      <c r="G1326" s="101"/>
      <c r="H1326" s="101"/>
      <c r="I1326" s="101"/>
      <c r="J1326" s="101"/>
      <c r="S1326" s="101"/>
      <c r="T1326" s="241"/>
      <c r="U1326" s="241"/>
      <c r="V1326" s="241"/>
      <c r="W1326" s="241"/>
      <c r="X1326" s="241"/>
      <c r="Y1326" s="241"/>
      <c r="Z1326" s="241"/>
    </row>
    <row r="1327" spans="3:26" ht="16.5">
      <c r="C1327" s="101"/>
      <c r="D1327" s="101"/>
      <c r="E1327" s="101"/>
      <c r="F1327" s="101"/>
      <c r="G1327" s="101"/>
      <c r="H1327" s="101"/>
      <c r="I1327" s="101"/>
      <c r="J1327" s="101"/>
      <c r="S1327" s="101"/>
      <c r="T1327" s="241"/>
      <c r="U1327" s="241"/>
      <c r="V1327" s="241"/>
      <c r="W1327" s="241"/>
      <c r="X1327" s="241"/>
      <c r="Y1327" s="241"/>
      <c r="Z1327" s="241"/>
    </row>
    <row r="1328" spans="3:26" ht="16.5">
      <c r="C1328" s="101"/>
      <c r="D1328" s="101"/>
      <c r="E1328" s="101"/>
      <c r="F1328" s="101"/>
      <c r="G1328" s="101"/>
      <c r="H1328" s="101"/>
      <c r="I1328" s="101"/>
      <c r="J1328" s="101"/>
      <c r="S1328" s="101"/>
      <c r="T1328" s="241"/>
      <c r="U1328" s="241"/>
      <c r="V1328" s="241"/>
      <c r="W1328" s="241"/>
      <c r="X1328" s="241"/>
      <c r="Y1328" s="241"/>
      <c r="Z1328" s="241"/>
    </row>
    <row r="1329" spans="3:26" ht="16.5">
      <c r="C1329" s="101"/>
      <c r="D1329" s="101"/>
      <c r="E1329" s="101"/>
      <c r="F1329" s="101"/>
      <c r="G1329" s="101"/>
      <c r="H1329" s="101"/>
      <c r="I1329" s="101"/>
      <c r="J1329" s="101"/>
      <c r="S1329" s="101"/>
      <c r="T1329" s="241"/>
      <c r="U1329" s="241"/>
      <c r="V1329" s="241"/>
      <c r="W1329" s="241"/>
      <c r="X1329" s="241"/>
      <c r="Y1329" s="241"/>
      <c r="Z1329" s="241"/>
    </row>
    <row r="1330" spans="3:26" ht="16.5">
      <c r="C1330" s="101"/>
      <c r="D1330" s="101"/>
      <c r="E1330" s="101"/>
      <c r="F1330" s="101"/>
      <c r="G1330" s="101"/>
      <c r="H1330" s="101"/>
      <c r="I1330" s="101"/>
      <c r="J1330" s="101"/>
      <c r="S1330" s="101"/>
      <c r="T1330" s="241"/>
      <c r="U1330" s="241"/>
      <c r="V1330" s="241"/>
      <c r="W1330" s="241"/>
      <c r="X1330" s="241"/>
      <c r="Y1330" s="241"/>
      <c r="Z1330" s="241"/>
    </row>
    <row r="1331" spans="3:26" ht="16.5">
      <c r="C1331" s="101"/>
      <c r="D1331" s="101"/>
      <c r="E1331" s="101"/>
      <c r="F1331" s="101"/>
      <c r="G1331" s="101"/>
      <c r="H1331" s="101"/>
      <c r="I1331" s="101"/>
      <c r="J1331" s="101"/>
      <c r="S1331" s="101"/>
      <c r="T1331" s="241"/>
      <c r="U1331" s="241"/>
      <c r="V1331" s="241"/>
      <c r="W1331" s="241"/>
      <c r="X1331" s="241"/>
      <c r="Y1331" s="241"/>
      <c r="Z1331" s="241"/>
    </row>
    <row r="1332" spans="3:26" ht="16.5">
      <c r="C1332" s="101"/>
      <c r="D1332" s="101"/>
      <c r="E1332" s="101"/>
      <c r="F1332" s="101"/>
      <c r="G1332" s="101"/>
      <c r="H1332" s="101"/>
      <c r="I1332" s="101"/>
      <c r="J1332" s="101"/>
      <c r="S1332" s="101"/>
      <c r="T1332" s="241"/>
      <c r="U1332" s="241"/>
      <c r="V1332" s="241"/>
      <c r="W1332" s="241"/>
      <c r="X1332" s="241"/>
      <c r="Y1332" s="241"/>
      <c r="Z1332" s="241"/>
    </row>
    <row r="1333" spans="3:26" ht="16.5">
      <c r="C1333" s="101"/>
      <c r="D1333" s="101"/>
      <c r="E1333" s="101"/>
      <c r="F1333" s="101"/>
      <c r="G1333" s="101"/>
      <c r="H1333" s="101"/>
      <c r="I1333" s="101"/>
      <c r="J1333" s="101"/>
      <c r="S1333" s="101"/>
      <c r="T1333" s="241"/>
      <c r="U1333" s="241"/>
      <c r="V1333" s="241"/>
      <c r="W1333" s="241"/>
      <c r="X1333" s="241"/>
      <c r="Y1333" s="241"/>
      <c r="Z1333" s="241"/>
    </row>
    <row r="1334" spans="3:26" ht="16.5">
      <c r="C1334" s="101"/>
      <c r="D1334" s="101"/>
      <c r="E1334" s="101"/>
      <c r="F1334" s="101"/>
      <c r="G1334" s="101"/>
      <c r="H1334" s="101"/>
      <c r="I1334" s="101"/>
      <c r="J1334" s="101"/>
      <c r="S1334" s="101"/>
      <c r="T1334" s="241"/>
      <c r="U1334" s="241"/>
      <c r="V1334" s="241"/>
      <c r="W1334" s="241"/>
      <c r="X1334" s="241"/>
      <c r="Y1334" s="241"/>
      <c r="Z1334" s="241"/>
    </row>
    <row r="1335" spans="3:26" ht="16.5">
      <c r="C1335" s="101"/>
      <c r="D1335" s="101"/>
      <c r="E1335" s="101"/>
      <c r="F1335" s="101"/>
      <c r="G1335" s="101"/>
      <c r="H1335" s="101"/>
      <c r="I1335" s="101"/>
      <c r="J1335" s="101"/>
      <c r="S1335" s="101"/>
      <c r="T1335" s="241"/>
      <c r="U1335" s="241"/>
      <c r="V1335" s="241"/>
      <c r="W1335" s="241"/>
      <c r="X1335" s="241"/>
      <c r="Y1335" s="241"/>
      <c r="Z1335" s="241"/>
    </row>
    <row r="1336" spans="3:26" ht="16.5">
      <c r="C1336" s="101"/>
      <c r="D1336" s="101"/>
      <c r="E1336" s="101"/>
      <c r="F1336" s="101"/>
      <c r="G1336" s="101"/>
      <c r="H1336" s="101"/>
      <c r="I1336" s="101"/>
      <c r="J1336" s="101"/>
      <c r="S1336" s="101"/>
      <c r="T1336" s="241"/>
      <c r="U1336" s="241"/>
      <c r="V1336" s="241"/>
      <c r="W1336" s="241"/>
      <c r="X1336" s="241"/>
      <c r="Y1336" s="241"/>
      <c r="Z1336" s="241"/>
    </row>
    <row r="1337" spans="3:26" ht="16.5">
      <c r="C1337" s="101"/>
      <c r="D1337" s="101"/>
      <c r="E1337" s="101"/>
      <c r="F1337" s="101"/>
      <c r="G1337" s="101"/>
      <c r="H1337" s="101"/>
      <c r="I1337" s="101"/>
      <c r="J1337" s="101"/>
      <c r="S1337" s="101"/>
      <c r="T1337" s="241"/>
      <c r="U1337" s="241"/>
      <c r="V1337" s="241"/>
      <c r="W1337" s="241"/>
      <c r="X1337" s="241"/>
      <c r="Y1337" s="241"/>
      <c r="Z1337" s="241"/>
    </row>
    <row r="1338" spans="3:26" ht="16.5">
      <c r="C1338" s="101"/>
      <c r="D1338" s="101"/>
      <c r="E1338" s="101"/>
      <c r="F1338" s="101"/>
      <c r="G1338" s="101"/>
      <c r="H1338" s="101"/>
      <c r="I1338" s="101"/>
      <c r="J1338" s="101"/>
      <c r="S1338" s="101"/>
      <c r="T1338" s="241"/>
      <c r="U1338" s="241"/>
      <c r="V1338" s="241"/>
      <c r="W1338" s="241"/>
      <c r="X1338" s="241"/>
      <c r="Y1338" s="241"/>
      <c r="Z1338" s="241"/>
    </row>
    <row r="1339" spans="3:26" ht="16.5">
      <c r="C1339" s="101"/>
      <c r="D1339" s="101"/>
      <c r="E1339" s="101"/>
      <c r="F1339" s="101"/>
      <c r="G1339" s="101"/>
      <c r="H1339" s="101"/>
      <c r="I1339" s="101"/>
      <c r="J1339" s="101"/>
      <c r="S1339" s="101"/>
      <c r="T1339" s="241"/>
      <c r="U1339" s="241"/>
      <c r="V1339" s="241"/>
      <c r="W1339" s="241"/>
      <c r="X1339" s="241"/>
      <c r="Y1339" s="241"/>
      <c r="Z1339" s="241"/>
    </row>
    <row r="1340" spans="3:26" ht="16.5">
      <c r="C1340" s="101"/>
      <c r="D1340" s="101"/>
      <c r="E1340" s="101"/>
      <c r="F1340" s="101"/>
      <c r="G1340" s="101"/>
      <c r="H1340" s="101"/>
      <c r="I1340" s="101"/>
      <c r="J1340" s="101"/>
      <c r="S1340" s="101"/>
      <c r="T1340" s="241"/>
      <c r="U1340" s="241"/>
      <c r="V1340" s="241"/>
      <c r="W1340" s="241"/>
      <c r="X1340" s="241"/>
      <c r="Y1340" s="241"/>
      <c r="Z1340" s="241"/>
    </row>
    <row r="1341" spans="3:26" ht="16.5">
      <c r="C1341" s="101"/>
      <c r="D1341" s="101"/>
      <c r="E1341" s="101"/>
      <c r="F1341" s="101"/>
      <c r="G1341" s="101"/>
      <c r="H1341" s="101"/>
      <c r="I1341" s="101"/>
      <c r="J1341" s="101"/>
      <c r="S1341" s="101"/>
      <c r="T1341" s="241"/>
      <c r="U1341" s="241"/>
      <c r="V1341" s="241"/>
      <c r="W1341" s="241"/>
      <c r="X1341" s="241"/>
      <c r="Y1341" s="241"/>
      <c r="Z1341" s="241"/>
    </row>
    <row r="1342" spans="3:26" ht="16.5">
      <c r="C1342" s="101"/>
      <c r="D1342" s="101"/>
      <c r="E1342" s="101"/>
      <c r="F1342" s="101"/>
      <c r="G1342" s="101"/>
      <c r="H1342" s="101"/>
      <c r="I1342" s="101"/>
      <c r="J1342" s="101"/>
      <c r="S1342" s="101"/>
      <c r="T1342" s="241"/>
      <c r="U1342" s="241"/>
      <c r="V1342" s="241"/>
      <c r="W1342" s="241"/>
      <c r="X1342" s="241"/>
      <c r="Y1342" s="241"/>
      <c r="Z1342" s="241"/>
    </row>
    <row r="1343" spans="3:26" ht="16.5">
      <c r="C1343" s="101"/>
      <c r="D1343" s="101"/>
      <c r="E1343" s="101"/>
      <c r="F1343" s="101"/>
      <c r="G1343" s="101"/>
      <c r="H1343" s="101"/>
      <c r="I1343" s="101"/>
      <c r="J1343" s="101"/>
      <c r="S1343" s="101"/>
      <c r="T1343" s="241"/>
      <c r="U1343" s="241"/>
      <c r="V1343" s="241"/>
      <c r="W1343" s="241"/>
      <c r="X1343" s="241"/>
      <c r="Y1343" s="241"/>
      <c r="Z1343" s="241"/>
    </row>
    <row r="1344" spans="3:26" ht="16.5">
      <c r="C1344" s="101"/>
      <c r="D1344" s="101"/>
      <c r="E1344" s="101"/>
      <c r="F1344" s="101"/>
      <c r="G1344" s="101"/>
      <c r="H1344" s="101"/>
      <c r="I1344" s="101"/>
      <c r="J1344" s="101"/>
      <c r="S1344" s="101"/>
      <c r="T1344" s="241"/>
      <c r="U1344" s="241"/>
      <c r="V1344" s="241"/>
      <c r="W1344" s="241"/>
      <c r="X1344" s="241"/>
      <c r="Y1344" s="241"/>
      <c r="Z1344" s="241"/>
    </row>
    <row r="1345" spans="3:26" ht="16.5">
      <c r="C1345" s="101"/>
      <c r="D1345" s="101"/>
      <c r="E1345" s="101"/>
      <c r="F1345" s="101"/>
      <c r="G1345" s="101"/>
      <c r="H1345" s="101"/>
      <c r="I1345" s="101"/>
      <c r="J1345" s="101"/>
      <c r="S1345" s="101"/>
      <c r="T1345" s="241"/>
      <c r="U1345" s="241"/>
      <c r="V1345" s="241"/>
      <c r="W1345" s="241"/>
      <c r="X1345" s="241"/>
      <c r="Y1345" s="241"/>
      <c r="Z1345" s="241"/>
    </row>
    <row r="1346" spans="3:26" ht="16.5">
      <c r="C1346" s="101"/>
      <c r="D1346" s="101"/>
      <c r="E1346" s="101"/>
      <c r="F1346" s="101"/>
      <c r="G1346" s="101"/>
      <c r="H1346" s="101"/>
      <c r="I1346" s="101"/>
      <c r="J1346" s="101"/>
      <c r="S1346" s="101"/>
      <c r="T1346" s="241"/>
      <c r="U1346" s="241"/>
      <c r="V1346" s="241"/>
      <c r="W1346" s="241"/>
      <c r="X1346" s="241"/>
      <c r="Y1346" s="241"/>
      <c r="Z1346" s="241"/>
    </row>
    <row r="1347" spans="3:26" ht="16.5">
      <c r="C1347" s="101"/>
      <c r="D1347" s="101"/>
      <c r="E1347" s="101"/>
      <c r="F1347" s="101"/>
      <c r="G1347" s="101"/>
      <c r="H1347" s="101"/>
      <c r="I1347" s="101"/>
      <c r="J1347" s="101"/>
      <c r="S1347" s="101"/>
      <c r="T1347" s="241"/>
      <c r="U1347" s="241"/>
      <c r="V1347" s="241"/>
      <c r="W1347" s="241"/>
      <c r="X1347" s="241"/>
      <c r="Y1347" s="241"/>
      <c r="Z1347" s="241"/>
    </row>
    <row r="1348" spans="3:26" ht="16.5">
      <c r="C1348" s="101"/>
      <c r="D1348" s="101"/>
      <c r="E1348" s="101"/>
      <c r="F1348" s="101"/>
      <c r="G1348" s="101"/>
      <c r="H1348" s="101"/>
      <c r="I1348" s="101"/>
      <c r="J1348" s="101"/>
      <c r="S1348" s="101"/>
      <c r="T1348" s="241"/>
      <c r="U1348" s="241"/>
      <c r="V1348" s="241"/>
      <c r="W1348" s="241"/>
      <c r="X1348" s="241"/>
      <c r="Y1348" s="241"/>
      <c r="Z1348" s="241"/>
    </row>
    <row r="1349" spans="3:26" ht="16.5">
      <c r="C1349" s="101"/>
      <c r="D1349" s="101"/>
      <c r="E1349" s="101"/>
      <c r="F1349" s="101"/>
      <c r="G1349" s="101"/>
      <c r="H1349" s="101"/>
      <c r="I1349" s="101"/>
      <c r="J1349" s="101"/>
      <c r="S1349" s="101"/>
      <c r="T1349" s="241"/>
      <c r="U1349" s="241"/>
      <c r="V1349" s="241"/>
      <c r="W1349" s="241"/>
      <c r="X1349" s="241"/>
      <c r="Y1349" s="241"/>
      <c r="Z1349" s="241"/>
    </row>
    <row r="1350" spans="3:26" ht="16.5">
      <c r="C1350" s="101"/>
      <c r="D1350" s="101"/>
      <c r="E1350" s="101"/>
      <c r="F1350" s="101"/>
      <c r="G1350" s="101"/>
      <c r="H1350" s="101"/>
      <c r="I1350" s="101"/>
      <c r="J1350" s="101"/>
      <c r="S1350" s="101"/>
      <c r="T1350" s="241"/>
      <c r="U1350" s="241"/>
      <c r="V1350" s="241"/>
      <c r="W1350" s="241"/>
      <c r="X1350" s="241"/>
      <c r="Y1350" s="241"/>
      <c r="Z1350" s="241"/>
    </row>
    <row r="1351" spans="3:26" ht="16.5">
      <c r="C1351" s="101"/>
      <c r="D1351" s="101"/>
      <c r="E1351" s="101"/>
      <c r="F1351" s="101"/>
      <c r="G1351" s="101"/>
      <c r="H1351" s="101"/>
      <c r="I1351" s="101"/>
      <c r="J1351" s="101"/>
      <c r="S1351" s="101"/>
      <c r="T1351" s="241"/>
      <c r="U1351" s="241"/>
      <c r="V1351" s="241"/>
      <c r="W1351" s="241"/>
      <c r="X1351" s="241"/>
      <c r="Y1351" s="241"/>
      <c r="Z1351" s="241"/>
    </row>
    <row r="1352" spans="3:26" ht="16.5">
      <c r="C1352" s="101"/>
      <c r="D1352" s="101"/>
      <c r="E1352" s="101"/>
      <c r="F1352" s="101"/>
      <c r="G1352" s="101"/>
      <c r="H1352" s="101"/>
      <c r="I1352" s="101"/>
      <c r="J1352" s="101"/>
      <c r="S1352" s="101"/>
      <c r="T1352" s="241"/>
      <c r="U1352" s="241"/>
      <c r="V1352" s="241"/>
      <c r="W1352" s="241"/>
      <c r="X1352" s="241"/>
      <c r="Y1352" s="241"/>
      <c r="Z1352" s="241"/>
    </row>
    <row r="1353" spans="3:26" ht="16.5">
      <c r="C1353" s="101"/>
      <c r="D1353" s="101"/>
      <c r="E1353" s="101"/>
      <c r="F1353" s="101"/>
      <c r="G1353" s="101"/>
      <c r="H1353" s="101"/>
      <c r="I1353" s="101"/>
      <c r="J1353" s="101"/>
      <c r="S1353" s="101"/>
      <c r="T1353" s="241"/>
      <c r="U1353" s="241"/>
      <c r="V1353" s="241"/>
      <c r="W1353" s="241"/>
      <c r="X1353" s="241"/>
      <c r="Y1353" s="241"/>
      <c r="Z1353" s="241"/>
    </row>
    <row r="1354" spans="3:26" ht="16.5">
      <c r="C1354" s="101"/>
      <c r="D1354" s="101"/>
      <c r="E1354" s="101"/>
      <c r="F1354" s="101"/>
      <c r="G1354" s="101"/>
      <c r="H1354" s="101"/>
      <c r="I1354" s="101"/>
      <c r="J1354" s="101"/>
      <c r="S1354" s="101"/>
      <c r="T1354" s="241"/>
      <c r="U1354" s="241"/>
      <c r="V1354" s="241"/>
      <c r="W1354" s="241"/>
      <c r="X1354" s="241"/>
      <c r="Y1354" s="241"/>
      <c r="Z1354" s="241"/>
    </row>
    <row r="1355" spans="3:26" ht="16.5">
      <c r="C1355" s="101"/>
      <c r="D1355" s="101"/>
      <c r="E1355" s="101"/>
      <c r="F1355" s="101"/>
      <c r="G1355" s="101"/>
      <c r="H1355" s="101"/>
      <c r="I1355" s="101"/>
      <c r="J1355" s="101"/>
      <c r="S1355" s="101"/>
      <c r="T1355" s="241"/>
      <c r="U1355" s="241"/>
      <c r="V1355" s="241"/>
      <c r="W1355" s="241"/>
      <c r="X1355" s="241"/>
      <c r="Y1355" s="241"/>
      <c r="Z1355" s="241"/>
    </row>
    <row r="1356" spans="3:26" ht="16.5">
      <c r="C1356" s="101"/>
      <c r="D1356" s="101"/>
      <c r="E1356" s="101"/>
      <c r="F1356" s="101"/>
      <c r="G1356" s="101"/>
      <c r="H1356" s="101"/>
      <c r="I1356" s="101"/>
      <c r="J1356" s="101"/>
      <c r="S1356" s="101"/>
      <c r="T1356" s="241"/>
      <c r="U1356" s="241"/>
      <c r="V1356" s="241"/>
      <c r="W1356" s="241"/>
      <c r="X1356" s="241"/>
      <c r="Y1356" s="241"/>
      <c r="Z1356" s="241"/>
    </row>
    <row r="1357" spans="3:26" ht="16.5">
      <c r="C1357" s="101"/>
      <c r="D1357" s="101"/>
      <c r="E1357" s="101"/>
      <c r="F1357" s="101"/>
      <c r="G1357" s="101"/>
      <c r="H1357" s="101"/>
      <c r="I1357" s="101"/>
      <c r="J1357" s="101"/>
      <c r="S1357" s="101"/>
      <c r="T1357" s="241"/>
      <c r="U1357" s="241"/>
      <c r="V1357" s="241"/>
      <c r="W1357" s="241"/>
      <c r="X1357" s="241"/>
      <c r="Y1357" s="241"/>
      <c r="Z1357" s="241"/>
    </row>
    <row r="1358" spans="3:26" ht="16.5">
      <c r="C1358" s="101"/>
      <c r="D1358" s="101"/>
      <c r="E1358" s="101"/>
      <c r="F1358" s="101"/>
      <c r="G1358" s="101"/>
      <c r="H1358" s="101"/>
      <c r="I1358" s="101"/>
      <c r="J1358" s="101"/>
      <c r="S1358" s="101"/>
      <c r="T1358" s="241"/>
      <c r="U1358" s="241"/>
      <c r="V1358" s="241"/>
      <c r="W1358" s="241"/>
      <c r="X1358" s="241"/>
      <c r="Y1358" s="241"/>
      <c r="Z1358" s="241"/>
    </row>
    <row r="1359" spans="3:26" ht="16.5">
      <c r="C1359" s="101"/>
      <c r="D1359" s="101"/>
      <c r="E1359" s="101"/>
      <c r="F1359" s="101"/>
      <c r="G1359" s="101"/>
      <c r="H1359" s="101"/>
      <c r="I1359" s="101"/>
      <c r="J1359" s="101"/>
      <c r="S1359" s="101"/>
      <c r="T1359" s="241"/>
      <c r="U1359" s="241"/>
      <c r="V1359" s="241"/>
      <c r="W1359" s="241"/>
      <c r="X1359" s="241"/>
      <c r="Y1359" s="241"/>
      <c r="Z1359" s="241"/>
    </row>
    <row r="1360" spans="3:26" ht="16.5">
      <c r="C1360" s="101"/>
      <c r="D1360" s="101"/>
      <c r="E1360" s="101"/>
      <c r="F1360" s="101"/>
      <c r="G1360" s="101"/>
      <c r="H1360" s="101"/>
      <c r="I1360" s="101"/>
      <c r="J1360" s="101"/>
      <c r="S1360" s="101"/>
      <c r="T1360" s="241"/>
      <c r="U1360" s="241"/>
      <c r="V1360" s="241"/>
      <c r="W1360" s="241"/>
      <c r="X1360" s="241"/>
      <c r="Y1360" s="241"/>
      <c r="Z1360" s="241"/>
    </row>
    <row r="1361" spans="3:26" ht="16.5">
      <c r="C1361" s="101"/>
      <c r="D1361" s="101"/>
      <c r="E1361" s="101"/>
      <c r="F1361" s="101"/>
      <c r="G1361" s="101"/>
      <c r="H1361" s="101"/>
      <c r="I1361" s="101"/>
      <c r="J1361" s="101"/>
      <c r="S1361" s="101"/>
      <c r="T1361" s="241"/>
      <c r="U1361" s="241"/>
      <c r="V1361" s="241"/>
      <c r="W1361" s="241"/>
      <c r="X1361" s="241"/>
      <c r="Y1361" s="241"/>
      <c r="Z1361" s="241"/>
    </row>
    <row r="1362" spans="3:26" ht="16.5">
      <c r="C1362" s="101"/>
      <c r="D1362" s="101"/>
      <c r="E1362" s="101"/>
      <c r="F1362" s="101"/>
      <c r="G1362" s="101"/>
      <c r="H1362" s="101"/>
      <c r="I1362" s="101"/>
      <c r="J1362" s="101"/>
      <c r="S1362" s="101"/>
      <c r="T1362" s="241"/>
      <c r="U1362" s="241"/>
      <c r="V1362" s="241"/>
      <c r="W1362" s="241"/>
      <c r="X1362" s="241"/>
      <c r="Y1362" s="241"/>
      <c r="Z1362" s="241"/>
    </row>
    <row r="1363" spans="3:26" ht="16.5">
      <c r="C1363" s="101"/>
      <c r="D1363" s="101"/>
      <c r="E1363" s="101"/>
      <c r="F1363" s="101"/>
      <c r="G1363" s="101"/>
      <c r="H1363" s="101"/>
      <c r="I1363" s="101"/>
      <c r="J1363" s="101"/>
      <c r="S1363" s="101"/>
      <c r="T1363" s="241"/>
      <c r="U1363" s="241"/>
      <c r="V1363" s="241"/>
      <c r="W1363" s="241"/>
      <c r="X1363" s="241"/>
      <c r="Y1363" s="241"/>
      <c r="Z1363" s="241"/>
    </row>
    <row r="1364" spans="3:26" ht="16.5">
      <c r="C1364" s="101"/>
      <c r="D1364" s="101"/>
      <c r="E1364" s="101"/>
      <c r="F1364" s="101"/>
      <c r="G1364" s="101"/>
      <c r="H1364" s="101"/>
      <c r="I1364" s="101"/>
      <c r="J1364" s="101"/>
      <c r="S1364" s="101"/>
      <c r="T1364" s="241"/>
      <c r="U1364" s="241"/>
      <c r="V1364" s="241"/>
      <c r="W1364" s="241"/>
      <c r="X1364" s="241"/>
      <c r="Y1364" s="241"/>
      <c r="Z1364" s="241"/>
    </row>
    <row r="1365" spans="3:26" ht="16.5">
      <c r="C1365" s="101"/>
      <c r="D1365" s="101"/>
      <c r="E1365" s="101"/>
      <c r="F1365" s="101"/>
      <c r="G1365" s="101"/>
      <c r="H1365" s="101"/>
      <c r="I1365" s="101"/>
      <c r="J1365" s="101"/>
      <c r="S1365" s="101"/>
      <c r="T1365" s="241"/>
      <c r="U1365" s="241"/>
      <c r="V1365" s="241"/>
      <c r="W1365" s="241"/>
      <c r="X1365" s="241"/>
      <c r="Y1365" s="241"/>
      <c r="Z1365" s="241"/>
    </row>
    <row r="1366" spans="3:26" ht="16.5">
      <c r="C1366" s="101"/>
      <c r="D1366" s="101"/>
      <c r="E1366" s="101"/>
      <c r="F1366" s="101"/>
      <c r="G1366" s="101"/>
      <c r="H1366" s="101"/>
      <c r="I1366" s="101"/>
      <c r="J1366" s="101"/>
      <c r="S1366" s="101"/>
      <c r="T1366" s="241"/>
      <c r="U1366" s="241"/>
      <c r="V1366" s="241"/>
      <c r="W1366" s="241"/>
      <c r="X1366" s="241"/>
      <c r="Y1366" s="241"/>
      <c r="Z1366" s="241"/>
    </row>
    <row r="1367" spans="3:26" ht="16.5">
      <c r="C1367" s="101"/>
      <c r="D1367" s="101"/>
      <c r="E1367" s="101"/>
      <c r="F1367" s="101"/>
      <c r="G1367" s="101"/>
      <c r="H1367" s="101"/>
      <c r="I1367" s="101"/>
      <c r="J1367" s="101"/>
      <c r="S1367" s="101"/>
      <c r="T1367" s="241"/>
      <c r="U1367" s="241"/>
      <c r="V1367" s="241"/>
      <c r="W1367" s="241"/>
      <c r="X1367" s="241"/>
      <c r="Y1367" s="241"/>
      <c r="Z1367" s="241"/>
    </row>
    <row r="1368" spans="3:26" ht="16.5">
      <c r="C1368" s="101"/>
      <c r="D1368" s="101"/>
      <c r="E1368" s="101"/>
      <c r="F1368" s="101"/>
      <c r="G1368" s="101"/>
      <c r="H1368" s="101"/>
      <c r="I1368" s="101"/>
      <c r="J1368" s="101"/>
      <c r="S1368" s="101"/>
      <c r="T1368" s="241"/>
      <c r="U1368" s="241"/>
      <c r="V1368" s="241"/>
      <c r="W1368" s="241"/>
      <c r="X1368" s="241"/>
      <c r="Y1368" s="241"/>
      <c r="Z1368" s="241"/>
    </row>
    <row r="1369" spans="3:26" ht="16.5">
      <c r="C1369" s="101"/>
      <c r="D1369" s="101"/>
      <c r="E1369" s="101"/>
      <c r="F1369" s="101"/>
      <c r="G1369" s="101"/>
      <c r="H1369" s="101"/>
      <c r="I1369" s="101"/>
      <c r="J1369" s="101"/>
      <c r="S1369" s="101"/>
      <c r="T1369" s="241"/>
      <c r="U1369" s="241"/>
      <c r="V1369" s="241"/>
      <c r="W1369" s="241"/>
      <c r="X1369" s="241"/>
      <c r="Y1369" s="241"/>
      <c r="Z1369" s="241"/>
    </row>
    <row r="1370" spans="3:26" ht="16.5">
      <c r="C1370" s="101"/>
      <c r="D1370" s="101"/>
      <c r="E1370" s="101"/>
      <c r="F1370" s="101"/>
      <c r="G1370" s="101"/>
      <c r="H1370" s="101"/>
      <c r="I1370" s="101"/>
      <c r="J1370" s="101"/>
      <c r="S1370" s="101"/>
      <c r="T1370" s="241"/>
      <c r="U1370" s="241"/>
      <c r="V1370" s="241"/>
      <c r="W1370" s="241"/>
      <c r="X1370" s="241"/>
      <c r="Y1370" s="241"/>
      <c r="Z1370" s="241"/>
    </row>
    <row r="1371" spans="3:26" ht="16.5">
      <c r="C1371" s="101"/>
      <c r="D1371" s="101"/>
      <c r="E1371" s="101"/>
      <c r="F1371" s="101"/>
      <c r="G1371" s="101"/>
      <c r="H1371" s="101"/>
      <c r="I1371" s="101"/>
      <c r="J1371" s="101"/>
      <c r="S1371" s="101"/>
      <c r="T1371" s="241"/>
      <c r="U1371" s="241"/>
      <c r="V1371" s="241"/>
      <c r="W1371" s="241"/>
      <c r="X1371" s="241"/>
      <c r="Y1371" s="241"/>
      <c r="Z1371" s="241"/>
    </row>
    <row r="1372" spans="3:26" ht="16.5">
      <c r="C1372" s="101"/>
      <c r="D1372" s="101"/>
      <c r="E1372" s="101"/>
      <c r="F1372" s="101"/>
      <c r="G1372" s="101"/>
      <c r="H1372" s="101"/>
      <c r="I1372" s="101"/>
      <c r="J1372" s="101"/>
      <c r="S1372" s="101"/>
      <c r="T1372" s="241"/>
      <c r="U1372" s="241"/>
      <c r="V1372" s="241"/>
      <c r="W1372" s="241"/>
      <c r="X1372" s="241"/>
      <c r="Y1372" s="241"/>
      <c r="Z1372" s="241"/>
    </row>
    <row r="1373" spans="3:26" ht="16.5">
      <c r="C1373" s="101"/>
      <c r="D1373" s="101"/>
      <c r="E1373" s="101"/>
      <c r="F1373" s="101"/>
      <c r="G1373" s="101"/>
      <c r="H1373" s="101"/>
      <c r="I1373" s="101"/>
      <c r="J1373" s="101"/>
      <c r="S1373" s="101"/>
      <c r="T1373" s="241"/>
      <c r="U1373" s="241"/>
      <c r="V1373" s="241"/>
      <c r="W1373" s="241"/>
      <c r="X1373" s="241"/>
      <c r="Y1373" s="241"/>
      <c r="Z1373" s="241"/>
    </row>
    <row r="1374" spans="3:26" ht="16.5">
      <c r="C1374" s="101"/>
      <c r="D1374" s="101"/>
      <c r="E1374" s="101"/>
      <c r="F1374" s="101"/>
      <c r="G1374" s="101"/>
      <c r="H1374" s="101"/>
      <c r="I1374" s="101"/>
      <c r="J1374" s="101"/>
      <c r="S1374" s="101"/>
      <c r="T1374" s="241"/>
      <c r="U1374" s="241"/>
      <c r="V1374" s="241"/>
      <c r="W1374" s="241"/>
      <c r="X1374" s="241"/>
      <c r="Y1374" s="241"/>
      <c r="Z1374" s="241"/>
    </row>
    <row r="1375" spans="3:26" ht="16.5">
      <c r="C1375" s="101"/>
      <c r="D1375" s="101"/>
      <c r="E1375" s="101"/>
      <c r="F1375" s="101"/>
      <c r="G1375" s="101"/>
      <c r="H1375" s="101"/>
      <c r="I1375" s="101"/>
      <c r="J1375" s="101"/>
      <c r="S1375" s="101"/>
      <c r="T1375" s="241"/>
      <c r="U1375" s="241"/>
      <c r="V1375" s="241"/>
      <c r="W1375" s="241"/>
      <c r="X1375" s="241"/>
      <c r="Y1375" s="241"/>
      <c r="Z1375" s="241"/>
    </row>
    <row r="1376" spans="3:26" ht="16.5">
      <c r="C1376" s="101"/>
      <c r="D1376" s="101"/>
      <c r="E1376" s="101"/>
      <c r="F1376" s="101"/>
      <c r="G1376" s="101"/>
      <c r="H1376" s="101"/>
      <c r="I1376" s="101"/>
      <c r="J1376" s="101"/>
      <c r="S1376" s="101"/>
      <c r="T1376" s="241"/>
      <c r="U1376" s="241"/>
      <c r="V1376" s="241"/>
      <c r="W1376" s="241"/>
      <c r="X1376" s="241"/>
      <c r="Y1376" s="241"/>
      <c r="Z1376" s="241"/>
    </row>
    <row r="1377" spans="3:26" ht="16.5">
      <c r="C1377" s="101"/>
      <c r="D1377" s="101"/>
      <c r="E1377" s="101"/>
      <c r="F1377" s="101"/>
      <c r="G1377" s="101"/>
      <c r="H1377" s="101"/>
      <c r="I1377" s="101"/>
      <c r="J1377" s="101"/>
      <c r="S1377" s="101"/>
      <c r="T1377" s="241"/>
      <c r="U1377" s="241"/>
      <c r="V1377" s="241"/>
      <c r="W1377" s="241"/>
      <c r="X1377" s="241"/>
      <c r="Y1377" s="241"/>
      <c r="Z1377" s="241"/>
    </row>
    <row r="1378" spans="3:26" ht="16.5">
      <c r="C1378" s="101"/>
      <c r="D1378" s="101"/>
      <c r="E1378" s="101"/>
      <c r="F1378" s="101"/>
      <c r="G1378" s="101"/>
      <c r="H1378" s="101"/>
      <c r="I1378" s="101"/>
      <c r="J1378" s="101"/>
      <c r="S1378" s="101"/>
      <c r="T1378" s="241"/>
      <c r="U1378" s="241"/>
      <c r="V1378" s="241"/>
      <c r="W1378" s="241"/>
      <c r="X1378" s="241"/>
      <c r="Y1378" s="241"/>
      <c r="Z1378" s="241"/>
    </row>
    <row r="1379" spans="3:26" ht="16.5">
      <c r="C1379" s="101"/>
      <c r="D1379" s="101"/>
      <c r="E1379" s="101"/>
      <c r="F1379" s="101"/>
      <c r="G1379" s="101"/>
      <c r="H1379" s="101"/>
      <c r="I1379" s="101"/>
      <c r="J1379" s="101"/>
      <c r="S1379" s="101"/>
      <c r="T1379" s="241"/>
      <c r="U1379" s="241"/>
      <c r="V1379" s="241"/>
      <c r="W1379" s="241"/>
      <c r="X1379" s="241"/>
      <c r="Y1379" s="241"/>
      <c r="Z1379" s="241"/>
    </row>
    <row r="1380" spans="3:26" ht="16.5">
      <c r="C1380" s="101"/>
      <c r="D1380" s="101"/>
      <c r="E1380" s="101"/>
      <c r="F1380" s="101"/>
      <c r="G1380" s="101"/>
      <c r="H1380" s="101"/>
      <c r="I1380" s="101"/>
      <c r="J1380" s="101"/>
      <c r="S1380" s="101"/>
      <c r="T1380" s="241"/>
      <c r="U1380" s="241"/>
      <c r="V1380" s="241"/>
      <c r="W1380" s="241"/>
      <c r="X1380" s="241"/>
      <c r="Y1380" s="241"/>
      <c r="Z1380" s="241"/>
    </row>
    <row r="1381" spans="3:26" ht="16.5">
      <c r="C1381" s="101"/>
      <c r="D1381" s="101"/>
      <c r="E1381" s="101"/>
      <c r="F1381" s="101"/>
      <c r="G1381" s="101"/>
      <c r="H1381" s="101"/>
      <c r="I1381" s="101"/>
      <c r="J1381" s="101"/>
      <c r="S1381" s="101"/>
      <c r="T1381" s="241"/>
      <c r="U1381" s="241"/>
      <c r="V1381" s="241"/>
      <c r="W1381" s="241"/>
      <c r="X1381" s="241"/>
      <c r="Y1381" s="241"/>
      <c r="Z1381" s="241"/>
    </row>
    <row r="1382" spans="3:26" ht="16.5">
      <c r="C1382" s="101"/>
      <c r="D1382" s="101"/>
      <c r="E1382" s="101"/>
      <c r="F1382" s="101"/>
      <c r="G1382" s="101"/>
      <c r="H1382" s="101"/>
      <c r="I1382" s="101"/>
      <c r="J1382" s="101"/>
      <c r="S1382" s="101"/>
      <c r="T1382" s="241"/>
      <c r="U1382" s="241"/>
      <c r="V1382" s="241"/>
      <c r="W1382" s="241"/>
      <c r="X1382" s="241"/>
      <c r="Y1382" s="241"/>
      <c r="Z1382" s="241"/>
    </row>
    <row r="1383" spans="3:26" ht="16.5">
      <c r="C1383" s="101"/>
      <c r="D1383" s="101"/>
      <c r="E1383" s="101"/>
      <c r="F1383" s="101"/>
      <c r="G1383" s="101"/>
      <c r="H1383" s="101"/>
      <c r="I1383" s="101"/>
      <c r="J1383" s="101"/>
      <c r="S1383" s="101"/>
      <c r="T1383" s="241"/>
      <c r="U1383" s="241"/>
      <c r="V1383" s="241"/>
      <c r="W1383" s="241"/>
      <c r="X1383" s="241"/>
      <c r="Y1383" s="241"/>
      <c r="Z1383" s="241"/>
    </row>
    <row r="1384" spans="3:26" ht="16.5">
      <c r="C1384" s="101"/>
      <c r="D1384" s="101"/>
      <c r="E1384" s="101"/>
      <c r="F1384" s="101"/>
      <c r="G1384" s="101"/>
      <c r="H1384" s="101"/>
      <c r="I1384" s="101"/>
      <c r="J1384" s="101"/>
      <c r="S1384" s="101"/>
      <c r="T1384" s="241"/>
      <c r="U1384" s="241"/>
      <c r="V1384" s="241"/>
      <c r="W1384" s="241"/>
      <c r="X1384" s="241"/>
      <c r="Y1384" s="241"/>
      <c r="Z1384" s="241"/>
    </row>
    <row r="1385" spans="3:26" ht="16.5">
      <c r="C1385" s="101"/>
      <c r="D1385" s="101"/>
      <c r="E1385" s="101"/>
      <c r="F1385" s="101"/>
      <c r="G1385" s="101"/>
      <c r="H1385" s="101"/>
      <c r="I1385" s="101"/>
      <c r="J1385" s="101"/>
      <c r="S1385" s="101"/>
      <c r="T1385" s="241"/>
      <c r="U1385" s="241"/>
      <c r="V1385" s="241"/>
      <c r="W1385" s="241"/>
      <c r="X1385" s="241"/>
      <c r="Y1385" s="241"/>
      <c r="Z1385" s="241"/>
    </row>
    <row r="1386" spans="3:26" ht="16.5">
      <c r="C1386" s="101"/>
      <c r="D1386" s="101"/>
      <c r="E1386" s="101"/>
      <c r="F1386" s="101"/>
      <c r="G1386" s="101"/>
      <c r="H1386" s="101"/>
      <c r="I1386" s="101"/>
      <c r="J1386" s="101"/>
      <c r="S1386" s="101"/>
      <c r="T1386" s="241"/>
      <c r="U1386" s="241"/>
      <c r="V1386" s="241"/>
      <c r="W1386" s="241"/>
      <c r="X1386" s="241"/>
      <c r="Y1386" s="241"/>
      <c r="Z1386" s="241"/>
    </row>
    <row r="1387" spans="3:26" ht="16.5">
      <c r="C1387" s="101"/>
      <c r="D1387" s="101"/>
      <c r="E1387" s="101"/>
      <c r="F1387" s="101"/>
      <c r="G1387" s="101"/>
      <c r="H1387" s="101"/>
      <c r="I1387" s="101"/>
      <c r="J1387" s="101"/>
      <c r="S1387" s="101"/>
      <c r="T1387" s="241"/>
      <c r="U1387" s="241"/>
      <c r="V1387" s="241"/>
      <c r="W1387" s="241"/>
      <c r="X1387" s="241"/>
      <c r="Y1387" s="241"/>
      <c r="Z1387" s="241"/>
    </row>
    <row r="1388" spans="3:26" ht="16.5">
      <c r="C1388" s="101"/>
      <c r="D1388" s="101"/>
      <c r="E1388" s="101"/>
      <c r="F1388" s="101"/>
      <c r="G1388" s="101"/>
      <c r="H1388" s="101"/>
      <c r="I1388" s="101"/>
      <c r="J1388" s="101"/>
      <c r="S1388" s="101"/>
      <c r="T1388" s="241"/>
      <c r="U1388" s="241"/>
      <c r="V1388" s="241"/>
      <c r="W1388" s="241"/>
      <c r="X1388" s="241"/>
      <c r="Y1388" s="241"/>
      <c r="Z1388" s="241"/>
    </row>
    <row r="1389" spans="3:26" ht="16.5">
      <c r="C1389" s="101"/>
      <c r="D1389" s="101"/>
      <c r="E1389" s="101"/>
      <c r="F1389" s="101"/>
      <c r="G1389" s="101"/>
      <c r="H1389" s="101"/>
      <c r="I1389" s="101"/>
      <c r="J1389" s="101"/>
      <c r="S1389" s="101"/>
      <c r="T1389" s="241"/>
      <c r="U1389" s="241"/>
      <c r="V1389" s="241"/>
      <c r="W1389" s="241"/>
      <c r="X1389" s="241"/>
      <c r="Y1389" s="241"/>
      <c r="Z1389" s="241"/>
    </row>
    <row r="1390" spans="3:26" ht="16.5">
      <c r="C1390" s="101"/>
      <c r="D1390" s="101"/>
      <c r="E1390" s="101"/>
      <c r="F1390" s="101"/>
      <c r="G1390" s="101"/>
      <c r="H1390" s="101"/>
      <c r="I1390" s="101"/>
      <c r="J1390" s="101"/>
      <c r="S1390" s="101"/>
      <c r="T1390" s="241"/>
      <c r="U1390" s="241"/>
      <c r="V1390" s="241"/>
      <c r="W1390" s="241"/>
      <c r="X1390" s="241"/>
      <c r="Y1390" s="241"/>
      <c r="Z1390" s="241"/>
    </row>
    <row r="1391" spans="3:26" ht="16.5">
      <c r="C1391" s="101"/>
      <c r="D1391" s="101"/>
      <c r="E1391" s="101"/>
      <c r="F1391" s="101"/>
      <c r="G1391" s="101"/>
      <c r="H1391" s="101"/>
      <c r="I1391" s="101"/>
      <c r="J1391" s="101"/>
      <c r="S1391" s="101"/>
      <c r="T1391" s="241"/>
      <c r="U1391" s="241"/>
      <c r="V1391" s="241"/>
      <c r="W1391" s="241"/>
      <c r="X1391" s="241"/>
      <c r="Y1391" s="241"/>
      <c r="Z1391" s="241"/>
    </row>
    <row r="1392" spans="3:26" ht="16.5">
      <c r="C1392" s="101"/>
      <c r="D1392" s="101"/>
      <c r="E1392" s="101"/>
      <c r="F1392" s="101"/>
      <c r="G1392" s="101"/>
      <c r="H1392" s="101"/>
      <c r="I1392" s="101"/>
      <c r="J1392" s="101"/>
      <c r="S1392" s="101"/>
      <c r="T1392" s="241"/>
      <c r="U1392" s="241"/>
      <c r="V1392" s="241"/>
      <c r="W1392" s="241"/>
      <c r="X1392" s="241"/>
      <c r="Y1392" s="241"/>
      <c r="Z1392" s="241"/>
    </row>
    <row r="1393" spans="3:26" ht="16.5">
      <c r="C1393" s="101"/>
      <c r="D1393" s="101"/>
      <c r="E1393" s="101"/>
      <c r="F1393" s="101"/>
      <c r="G1393" s="101"/>
      <c r="H1393" s="101"/>
      <c r="I1393" s="101"/>
      <c r="J1393" s="101"/>
      <c r="S1393" s="101"/>
      <c r="T1393" s="241"/>
      <c r="U1393" s="241"/>
      <c r="V1393" s="241"/>
      <c r="W1393" s="241"/>
      <c r="X1393" s="241"/>
      <c r="Y1393" s="241"/>
      <c r="Z1393" s="241"/>
    </row>
    <row r="1394" spans="3:26" ht="16.5">
      <c r="C1394" s="101"/>
      <c r="D1394" s="101"/>
      <c r="E1394" s="101"/>
      <c r="F1394" s="101"/>
      <c r="G1394" s="101"/>
      <c r="H1394" s="101"/>
      <c r="I1394" s="101"/>
      <c r="J1394" s="101"/>
      <c r="S1394" s="101"/>
      <c r="T1394" s="241"/>
      <c r="U1394" s="241"/>
      <c r="V1394" s="241"/>
      <c r="W1394" s="241"/>
      <c r="X1394" s="241"/>
      <c r="Y1394" s="241"/>
      <c r="Z1394" s="241"/>
    </row>
    <row r="1395" spans="3:26" ht="16.5">
      <c r="C1395" s="101"/>
      <c r="D1395" s="101"/>
      <c r="E1395" s="101"/>
      <c r="F1395" s="101"/>
      <c r="G1395" s="101"/>
      <c r="H1395" s="101"/>
      <c r="I1395" s="101"/>
      <c r="J1395" s="101"/>
      <c r="S1395" s="101"/>
      <c r="T1395" s="241"/>
      <c r="U1395" s="241"/>
      <c r="V1395" s="241"/>
      <c r="W1395" s="241"/>
      <c r="X1395" s="241"/>
      <c r="Y1395" s="241"/>
      <c r="Z1395" s="241"/>
    </row>
    <row r="1396" spans="3:26" ht="16.5">
      <c r="C1396" s="101"/>
      <c r="D1396" s="101"/>
      <c r="E1396" s="101"/>
      <c r="F1396" s="101"/>
      <c r="G1396" s="101"/>
      <c r="H1396" s="101"/>
      <c r="I1396" s="101"/>
      <c r="J1396" s="101"/>
      <c r="S1396" s="101"/>
      <c r="T1396" s="241"/>
      <c r="U1396" s="241"/>
      <c r="V1396" s="241"/>
      <c r="W1396" s="241"/>
      <c r="X1396" s="241"/>
      <c r="Y1396" s="241"/>
      <c r="Z1396" s="241"/>
    </row>
    <row r="1397" spans="3:26" ht="16.5">
      <c r="C1397" s="101"/>
      <c r="D1397" s="101"/>
      <c r="E1397" s="101"/>
      <c r="F1397" s="101"/>
      <c r="G1397" s="101"/>
      <c r="H1397" s="101"/>
      <c r="I1397" s="101"/>
      <c r="J1397" s="101"/>
      <c r="S1397" s="101"/>
      <c r="T1397" s="241"/>
      <c r="U1397" s="241"/>
      <c r="V1397" s="241"/>
      <c r="W1397" s="241"/>
      <c r="X1397" s="241"/>
      <c r="Y1397" s="241"/>
      <c r="Z1397" s="241"/>
    </row>
    <row r="1398" spans="3:26" ht="16.5">
      <c r="C1398" s="101"/>
      <c r="D1398" s="101"/>
      <c r="E1398" s="101"/>
      <c r="F1398" s="101"/>
      <c r="G1398" s="101"/>
      <c r="H1398" s="101"/>
      <c r="I1398" s="101"/>
      <c r="J1398" s="101"/>
      <c r="S1398" s="101"/>
      <c r="T1398" s="241"/>
      <c r="U1398" s="241"/>
      <c r="V1398" s="241"/>
      <c r="W1398" s="241"/>
      <c r="X1398" s="241"/>
      <c r="Y1398" s="241"/>
      <c r="Z1398" s="241"/>
    </row>
    <row r="1399" spans="3:26" ht="16.5">
      <c r="C1399" s="101"/>
      <c r="D1399" s="101"/>
      <c r="E1399" s="101"/>
      <c r="F1399" s="101"/>
      <c r="G1399" s="101"/>
      <c r="H1399" s="101"/>
      <c r="I1399" s="101"/>
      <c r="J1399" s="101"/>
      <c r="S1399" s="101"/>
      <c r="T1399" s="241"/>
      <c r="U1399" s="241"/>
      <c r="V1399" s="241"/>
      <c r="W1399" s="241"/>
      <c r="X1399" s="241"/>
      <c r="Y1399" s="241"/>
      <c r="Z1399" s="241"/>
    </row>
    <row r="1400" spans="3:26" ht="16.5">
      <c r="C1400" s="101"/>
      <c r="D1400" s="101"/>
      <c r="E1400" s="101"/>
      <c r="F1400" s="101"/>
      <c r="G1400" s="101"/>
      <c r="H1400" s="101"/>
      <c r="I1400" s="101"/>
      <c r="J1400" s="101"/>
      <c r="S1400" s="101"/>
      <c r="T1400" s="241"/>
      <c r="U1400" s="241"/>
      <c r="V1400" s="241"/>
      <c r="W1400" s="241"/>
      <c r="X1400" s="241"/>
      <c r="Y1400" s="241"/>
      <c r="Z1400" s="241"/>
    </row>
    <row r="1401" spans="3:26" ht="16.5">
      <c r="C1401" s="101"/>
      <c r="D1401" s="101"/>
      <c r="E1401" s="101"/>
      <c r="F1401" s="101"/>
      <c r="G1401" s="101"/>
      <c r="H1401" s="101"/>
      <c r="I1401" s="101"/>
      <c r="J1401" s="101"/>
      <c r="S1401" s="101"/>
      <c r="T1401" s="241"/>
      <c r="U1401" s="241"/>
      <c r="V1401" s="241"/>
      <c r="W1401" s="241"/>
      <c r="X1401" s="241"/>
      <c r="Y1401" s="241"/>
      <c r="Z1401" s="241"/>
    </row>
    <row r="1402" spans="3:26" ht="16.5">
      <c r="C1402" s="101"/>
      <c r="D1402" s="101"/>
      <c r="E1402" s="101"/>
      <c r="F1402" s="101"/>
      <c r="G1402" s="101"/>
      <c r="H1402" s="101"/>
      <c r="I1402" s="101"/>
      <c r="J1402" s="101"/>
      <c r="S1402" s="101"/>
      <c r="T1402" s="241"/>
      <c r="U1402" s="241"/>
      <c r="V1402" s="241"/>
      <c r="W1402" s="241"/>
      <c r="X1402" s="241"/>
      <c r="Y1402" s="241"/>
      <c r="Z1402" s="241"/>
    </row>
    <row r="1403" spans="3:26" ht="16.5">
      <c r="C1403" s="101"/>
      <c r="D1403" s="101"/>
      <c r="E1403" s="101"/>
      <c r="F1403" s="101"/>
      <c r="G1403" s="101"/>
      <c r="H1403" s="101"/>
      <c r="I1403" s="101"/>
      <c r="J1403" s="101"/>
      <c r="S1403" s="101"/>
      <c r="T1403" s="241"/>
      <c r="U1403" s="241"/>
      <c r="V1403" s="241"/>
      <c r="W1403" s="241"/>
      <c r="X1403" s="241"/>
      <c r="Y1403" s="241"/>
      <c r="Z1403" s="241"/>
    </row>
    <row r="1404" spans="3:26" ht="16.5">
      <c r="C1404" s="101"/>
      <c r="D1404" s="101"/>
      <c r="E1404" s="101"/>
      <c r="F1404" s="101"/>
      <c r="G1404" s="101"/>
      <c r="H1404" s="101"/>
      <c r="I1404" s="101"/>
      <c r="J1404" s="101"/>
      <c r="S1404" s="101"/>
      <c r="T1404" s="241"/>
      <c r="U1404" s="241"/>
      <c r="V1404" s="241"/>
      <c r="W1404" s="241"/>
      <c r="X1404" s="241"/>
      <c r="Y1404" s="241"/>
      <c r="Z1404" s="241"/>
    </row>
    <row r="1405" spans="3:26" ht="16.5">
      <c r="C1405" s="101"/>
      <c r="D1405" s="101"/>
      <c r="E1405" s="101"/>
      <c r="F1405" s="101"/>
      <c r="G1405" s="101"/>
      <c r="H1405" s="101"/>
      <c r="I1405" s="101"/>
      <c r="J1405" s="101"/>
      <c r="S1405" s="101"/>
      <c r="T1405" s="241"/>
      <c r="U1405" s="241"/>
      <c r="V1405" s="241"/>
      <c r="W1405" s="241"/>
      <c r="X1405" s="241"/>
      <c r="Y1405" s="241"/>
      <c r="Z1405" s="241"/>
    </row>
    <row r="1406" spans="3:26" ht="16.5">
      <c r="C1406" s="101"/>
      <c r="D1406" s="101"/>
      <c r="E1406" s="101"/>
      <c r="F1406" s="101"/>
      <c r="G1406" s="101"/>
      <c r="H1406" s="101"/>
      <c r="I1406" s="101"/>
      <c r="J1406" s="101"/>
      <c r="S1406" s="101"/>
      <c r="T1406" s="241"/>
      <c r="U1406" s="241"/>
      <c r="V1406" s="241"/>
      <c r="W1406" s="241"/>
      <c r="X1406" s="241"/>
      <c r="Y1406" s="241"/>
      <c r="Z1406" s="241"/>
    </row>
    <row r="1407" spans="3:26" ht="16.5">
      <c r="C1407" s="101"/>
      <c r="D1407" s="101"/>
      <c r="E1407" s="101"/>
      <c r="F1407" s="101"/>
      <c r="G1407" s="101"/>
      <c r="H1407" s="101"/>
      <c r="I1407" s="101"/>
      <c r="J1407" s="101"/>
      <c r="S1407" s="101"/>
      <c r="T1407" s="241"/>
      <c r="U1407" s="241"/>
      <c r="V1407" s="241"/>
      <c r="W1407" s="241"/>
      <c r="X1407" s="241"/>
      <c r="Y1407" s="241"/>
      <c r="Z1407" s="241"/>
    </row>
    <row r="1408" spans="3:26" ht="16.5">
      <c r="C1408" s="101"/>
      <c r="D1408" s="101"/>
      <c r="E1408" s="101"/>
      <c r="F1408" s="101"/>
      <c r="G1408" s="101"/>
      <c r="H1408" s="101"/>
      <c r="I1408" s="101"/>
      <c r="J1408" s="101"/>
      <c r="S1408" s="101"/>
      <c r="T1408" s="241"/>
      <c r="U1408" s="241"/>
      <c r="V1408" s="241"/>
      <c r="W1408" s="241"/>
      <c r="X1408" s="241"/>
      <c r="Y1408" s="241"/>
      <c r="Z1408" s="241"/>
    </row>
    <row r="1409" spans="3:26" ht="16.5">
      <c r="C1409" s="101"/>
      <c r="D1409" s="101"/>
      <c r="E1409" s="101"/>
      <c r="F1409" s="101"/>
      <c r="G1409" s="101"/>
      <c r="H1409" s="101"/>
      <c r="I1409" s="101"/>
      <c r="J1409" s="101"/>
      <c r="S1409" s="101"/>
      <c r="T1409" s="241"/>
      <c r="U1409" s="241"/>
      <c r="V1409" s="241"/>
      <c r="W1409" s="241"/>
      <c r="X1409" s="241"/>
      <c r="Y1409" s="241"/>
      <c r="Z1409" s="241"/>
    </row>
    <row r="1410" spans="3:26" ht="16.5">
      <c r="C1410" s="101"/>
      <c r="D1410" s="101"/>
      <c r="E1410" s="101"/>
      <c r="F1410" s="101"/>
      <c r="G1410" s="101"/>
      <c r="H1410" s="101"/>
      <c r="I1410" s="101"/>
      <c r="J1410" s="101"/>
      <c r="S1410" s="101"/>
      <c r="T1410" s="241"/>
      <c r="U1410" s="241"/>
      <c r="V1410" s="241"/>
      <c r="W1410" s="241"/>
      <c r="X1410" s="241"/>
      <c r="Y1410" s="241"/>
      <c r="Z1410" s="241"/>
    </row>
    <row r="1411" spans="3:26" ht="16.5">
      <c r="C1411" s="101"/>
      <c r="D1411" s="101"/>
      <c r="E1411" s="101"/>
      <c r="F1411" s="101"/>
      <c r="G1411" s="101"/>
      <c r="H1411" s="101"/>
      <c r="I1411" s="101"/>
      <c r="J1411" s="101"/>
      <c r="S1411" s="101"/>
      <c r="T1411" s="241"/>
      <c r="U1411" s="241"/>
      <c r="V1411" s="241"/>
      <c r="W1411" s="241"/>
      <c r="X1411" s="241"/>
      <c r="Y1411" s="241"/>
      <c r="Z1411" s="241"/>
    </row>
    <row r="1412" spans="3:26" ht="16.5">
      <c r="C1412" s="101"/>
      <c r="D1412" s="101"/>
      <c r="E1412" s="101"/>
      <c r="F1412" s="101"/>
      <c r="G1412" s="101"/>
      <c r="H1412" s="101"/>
      <c r="I1412" s="101"/>
      <c r="J1412" s="101"/>
      <c r="S1412" s="101"/>
      <c r="T1412" s="241"/>
      <c r="U1412" s="241"/>
      <c r="V1412" s="241"/>
      <c r="W1412" s="241"/>
      <c r="X1412" s="241"/>
      <c r="Y1412" s="241"/>
      <c r="Z1412" s="241"/>
    </row>
    <row r="1413" spans="3:26" ht="16.5">
      <c r="C1413" s="101"/>
      <c r="D1413" s="101"/>
      <c r="E1413" s="101"/>
      <c r="F1413" s="101"/>
      <c r="G1413" s="101"/>
      <c r="H1413" s="101"/>
      <c r="I1413" s="101"/>
      <c r="J1413" s="101"/>
      <c r="S1413" s="101"/>
      <c r="T1413" s="241"/>
      <c r="U1413" s="241"/>
      <c r="V1413" s="241"/>
      <c r="W1413" s="241"/>
      <c r="X1413" s="241"/>
      <c r="Y1413" s="241"/>
      <c r="Z1413" s="241"/>
    </row>
    <row r="1414" spans="3:26" ht="16.5">
      <c r="C1414" s="101"/>
      <c r="D1414" s="101"/>
      <c r="E1414" s="101"/>
      <c r="F1414" s="101"/>
      <c r="G1414" s="101"/>
      <c r="H1414" s="101"/>
      <c r="I1414" s="101"/>
      <c r="J1414" s="101"/>
      <c r="S1414" s="101"/>
      <c r="T1414" s="241"/>
      <c r="U1414" s="241"/>
      <c r="V1414" s="241"/>
      <c r="W1414" s="241"/>
      <c r="X1414" s="241"/>
      <c r="Y1414" s="241"/>
      <c r="Z1414" s="241"/>
    </row>
    <row r="1415" spans="3:26" ht="16.5">
      <c r="C1415" s="101"/>
      <c r="D1415" s="101"/>
      <c r="E1415" s="101"/>
      <c r="F1415" s="101"/>
      <c r="G1415" s="101"/>
      <c r="H1415" s="101"/>
      <c r="I1415" s="101"/>
      <c r="J1415" s="101"/>
      <c r="S1415" s="101"/>
      <c r="T1415" s="241"/>
      <c r="U1415" s="241"/>
      <c r="V1415" s="241"/>
      <c r="W1415" s="241"/>
      <c r="X1415" s="241"/>
      <c r="Y1415" s="241"/>
      <c r="Z1415" s="241"/>
    </row>
    <row r="1416" spans="3:26" ht="16.5">
      <c r="C1416" s="101"/>
      <c r="D1416" s="101"/>
      <c r="E1416" s="101"/>
      <c r="F1416" s="101"/>
      <c r="G1416" s="101"/>
      <c r="H1416" s="101"/>
      <c r="I1416" s="101"/>
      <c r="J1416" s="101"/>
      <c r="S1416" s="101"/>
      <c r="T1416" s="241"/>
      <c r="U1416" s="241"/>
      <c r="V1416" s="241"/>
      <c r="W1416" s="241"/>
      <c r="X1416" s="241"/>
      <c r="Y1416" s="241"/>
      <c r="Z1416" s="241"/>
    </row>
    <row r="1417" spans="3:26" ht="16.5">
      <c r="C1417" s="101"/>
      <c r="D1417" s="101"/>
      <c r="E1417" s="101"/>
      <c r="F1417" s="101"/>
      <c r="G1417" s="101"/>
      <c r="H1417" s="101"/>
      <c r="I1417" s="101"/>
      <c r="J1417" s="101"/>
      <c r="S1417" s="101"/>
      <c r="T1417" s="241"/>
      <c r="U1417" s="241"/>
      <c r="V1417" s="241"/>
      <c r="W1417" s="241"/>
      <c r="X1417" s="241"/>
      <c r="Y1417" s="241"/>
      <c r="Z1417" s="241"/>
    </row>
    <row r="1418" spans="3:26" ht="16.5">
      <c r="C1418" s="101"/>
      <c r="D1418" s="101"/>
      <c r="E1418" s="101"/>
      <c r="F1418" s="101"/>
      <c r="G1418" s="101"/>
      <c r="H1418" s="101"/>
      <c r="I1418" s="101"/>
      <c r="J1418" s="101"/>
      <c r="S1418" s="101"/>
      <c r="T1418" s="241"/>
      <c r="U1418" s="241"/>
      <c r="V1418" s="241"/>
      <c r="W1418" s="241"/>
      <c r="X1418" s="241"/>
      <c r="Y1418" s="241"/>
      <c r="Z1418" s="241"/>
    </row>
    <row r="1419" spans="3:26" ht="16.5">
      <c r="C1419" s="101"/>
      <c r="D1419" s="101"/>
      <c r="E1419" s="101"/>
      <c r="F1419" s="101"/>
      <c r="G1419" s="101"/>
      <c r="H1419" s="101"/>
      <c r="I1419" s="101"/>
      <c r="J1419" s="101"/>
      <c r="S1419" s="101"/>
      <c r="T1419" s="241"/>
      <c r="U1419" s="241"/>
      <c r="V1419" s="241"/>
      <c r="W1419" s="241"/>
      <c r="X1419" s="241"/>
      <c r="Y1419" s="241"/>
      <c r="Z1419" s="241"/>
    </row>
    <row r="1420" spans="3:26" ht="16.5">
      <c r="C1420" s="101"/>
      <c r="D1420" s="101"/>
      <c r="E1420" s="101"/>
      <c r="F1420" s="101"/>
      <c r="G1420" s="101"/>
      <c r="H1420" s="101"/>
      <c r="I1420" s="101"/>
      <c r="J1420" s="101"/>
      <c r="S1420" s="101"/>
      <c r="T1420" s="241"/>
      <c r="U1420" s="241"/>
      <c r="V1420" s="241"/>
      <c r="W1420" s="241"/>
      <c r="X1420" s="241"/>
      <c r="Y1420" s="241"/>
      <c r="Z1420" s="241"/>
    </row>
    <row r="1421" spans="3:26" ht="16.5">
      <c r="C1421" s="101"/>
      <c r="D1421" s="101"/>
      <c r="E1421" s="101"/>
      <c r="F1421" s="101"/>
      <c r="G1421" s="101"/>
      <c r="H1421" s="101"/>
      <c r="I1421" s="101"/>
      <c r="J1421" s="101"/>
      <c r="S1421" s="101"/>
      <c r="T1421" s="241"/>
      <c r="U1421" s="241"/>
      <c r="V1421" s="241"/>
      <c r="W1421" s="241"/>
      <c r="X1421" s="241"/>
      <c r="Y1421" s="241"/>
      <c r="Z1421" s="241"/>
    </row>
    <row r="1422" spans="3:26" ht="16.5">
      <c r="C1422" s="101"/>
      <c r="D1422" s="101"/>
      <c r="E1422" s="101"/>
      <c r="F1422" s="101"/>
      <c r="G1422" s="101"/>
      <c r="H1422" s="101"/>
      <c r="I1422" s="101"/>
      <c r="J1422" s="101"/>
      <c r="S1422" s="101"/>
      <c r="T1422" s="241"/>
      <c r="U1422" s="241"/>
      <c r="V1422" s="241"/>
      <c r="W1422" s="241"/>
      <c r="X1422" s="241"/>
      <c r="Y1422" s="241"/>
      <c r="Z1422" s="241"/>
    </row>
    <row r="1423" spans="3:26" ht="16.5">
      <c r="C1423" s="101"/>
      <c r="D1423" s="101"/>
      <c r="E1423" s="101"/>
      <c r="F1423" s="101"/>
      <c r="G1423" s="101"/>
      <c r="H1423" s="101"/>
      <c r="I1423" s="101"/>
      <c r="J1423" s="101"/>
      <c r="S1423" s="101"/>
      <c r="T1423" s="241"/>
      <c r="U1423" s="241"/>
      <c r="V1423" s="241"/>
      <c r="W1423" s="241"/>
      <c r="X1423" s="241"/>
      <c r="Y1423" s="241"/>
      <c r="Z1423" s="241"/>
    </row>
    <row r="1424" spans="3:26" ht="16.5">
      <c r="C1424" s="101"/>
      <c r="D1424" s="101"/>
      <c r="E1424" s="101"/>
      <c r="F1424" s="101"/>
      <c r="G1424" s="101"/>
      <c r="H1424" s="101"/>
      <c r="I1424" s="101"/>
      <c r="J1424" s="101"/>
      <c r="S1424" s="101"/>
      <c r="T1424" s="241"/>
      <c r="U1424" s="241"/>
      <c r="V1424" s="241"/>
      <c r="W1424" s="241"/>
      <c r="X1424" s="241"/>
      <c r="Y1424" s="241"/>
      <c r="Z1424" s="241"/>
    </row>
    <row r="1425" spans="3:26" ht="16.5">
      <c r="C1425" s="101"/>
      <c r="D1425" s="101"/>
      <c r="E1425" s="101"/>
      <c r="F1425" s="101"/>
      <c r="G1425" s="101"/>
      <c r="H1425" s="101"/>
      <c r="I1425" s="101"/>
      <c r="J1425" s="101"/>
      <c r="S1425" s="101"/>
      <c r="T1425" s="241"/>
      <c r="U1425" s="241"/>
      <c r="V1425" s="241"/>
      <c r="W1425" s="241"/>
      <c r="X1425" s="241"/>
      <c r="Y1425" s="241"/>
      <c r="Z1425" s="241"/>
    </row>
    <row r="1426" spans="3:26" ht="16.5">
      <c r="C1426" s="101"/>
      <c r="D1426" s="101"/>
      <c r="E1426" s="101"/>
      <c r="F1426" s="101"/>
      <c r="G1426" s="101"/>
      <c r="H1426" s="101"/>
      <c r="I1426" s="101"/>
      <c r="J1426" s="101"/>
      <c r="S1426" s="101"/>
      <c r="T1426" s="241"/>
      <c r="U1426" s="241"/>
      <c r="V1426" s="241"/>
      <c r="W1426" s="241"/>
      <c r="X1426" s="241"/>
      <c r="Y1426" s="241"/>
      <c r="Z1426" s="241"/>
    </row>
    <row r="1427" spans="3:26" ht="16.5">
      <c r="C1427" s="101"/>
      <c r="D1427" s="101"/>
      <c r="E1427" s="101"/>
      <c r="F1427" s="101"/>
      <c r="G1427" s="101"/>
      <c r="H1427" s="101"/>
      <c r="I1427" s="101"/>
      <c r="J1427" s="101"/>
      <c r="S1427" s="101"/>
      <c r="T1427" s="241"/>
      <c r="U1427" s="241"/>
      <c r="V1427" s="241"/>
      <c r="W1427" s="241"/>
      <c r="X1427" s="241"/>
      <c r="Y1427" s="241"/>
      <c r="Z1427" s="241"/>
    </row>
    <row r="1428" spans="3:26" ht="16.5">
      <c r="C1428" s="101"/>
      <c r="D1428" s="101"/>
      <c r="E1428" s="101"/>
      <c r="F1428" s="101"/>
      <c r="G1428" s="101"/>
      <c r="H1428" s="101"/>
      <c r="I1428" s="101"/>
      <c r="J1428" s="101"/>
      <c r="S1428" s="101"/>
      <c r="T1428" s="241"/>
      <c r="U1428" s="241"/>
      <c r="V1428" s="241"/>
      <c r="W1428" s="241"/>
      <c r="X1428" s="241"/>
      <c r="Y1428" s="241"/>
      <c r="Z1428" s="241"/>
    </row>
    <row r="1429" spans="3:26" ht="16.5">
      <c r="C1429" s="101"/>
      <c r="D1429" s="101"/>
      <c r="E1429" s="101"/>
      <c r="F1429" s="101"/>
      <c r="G1429" s="101"/>
      <c r="H1429" s="101"/>
      <c r="I1429" s="101"/>
      <c r="J1429" s="101"/>
      <c r="S1429" s="101"/>
      <c r="T1429" s="241"/>
      <c r="U1429" s="241"/>
      <c r="V1429" s="241"/>
      <c r="W1429" s="241"/>
      <c r="X1429" s="241"/>
      <c r="Y1429" s="241"/>
      <c r="Z1429" s="241"/>
    </row>
    <row r="1430" spans="3:26" ht="16.5">
      <c r="C1430" s="101"/>
      <c r="D1430" s="101"/>
      <c r="E1430" s="101"/>
      <c r="F1430" s="101"/>
      <c r="G1430" s="101"/>
      <c r="H1430" s="101"/>
      <c r="I1430" s="101"/>
      <c r="J1430" s="101"/>
      <c r="S1430" s="101"/>
      <c r="T1430" s="241"/>
      <c r="U1430" s="241"/>
      <c r="V1430" s="241"/>
      <c r="W1430" s="241"/>
      <c r="X1430" s="241"/>
      <c r="Y1430" s="241"/>
      <c r="Z1430" s="241"/>
    </row>
    <row r="1431" spans="3:26" ht="16.5">
      <c r="C1431" s="101"/>
      <c r="D1431" s="101"/>
      <c r="E1431" s="101"/>
      <c r="F1431" s="101"/>
      <c r="G1431" s="101"/>
      <c r="H1431" s="101"/>
      <c r="I1431" s="101"/>
      <c r="J1431" s="101"/>
      <c r="S1431" s="101"/>
      <c r="T1431" s="241"/>
      <c r="U1431" s="241"/>
      <c r="V1431" s="241"/>
      <c r="W1431" s="241"/>
      <c r="X1431" s="241"/>
      <c r="Y1431" s="241"/>
      <c r="Z1431" s="241"/>
    </row>
    <row r="1432" spans="3:26" ht="16.5">
      <c r="C1432" s="101"/>
      <c r="D1432" s="101"/>
      <c r="E1432" s="101"/>
      <c r="F1432" s="101"/>
      <c r="G1432" s="101"/>
      <c r="H1432" s="101"/>
      <c r="I1432" s="101"/>
      <c r="J1432" s="101"/>
      <c r="S1432" s="101"/>
      <c r="T1432" s="241"/>
      <c r="U1432" s="241"/>
      <c r="V1432" s="241"/>
      <c r="W1432" s="241"/>
      <c r="X1432" s="241"/>
      <c r="Y1432" s="241"/>
      <c r="Z1432" s="241"/>
    </row>
    <row r="1433" spans="3:26" ht="16.5">
      <c r="C1433" s="101"/>
      <c r="D1433" s="101"/>
      <c r="E1433" s="101"/>
      <c r="F1433" s="101"/>
      <c r="G1433" s="101"/>
      <c r="H1433" s="101"/>
      <c r="I1433" s="101"/>
      <c r="J1433" s="101"/>
      <c r="S1433" s="101"/>
      <c r="T1433" s="241"/>
      <c r="U1433" s="241"/>
      <c r="V1433" s="241"/>
      <c r="W1433" s="241"/>
      <c r="X1433" s="241"/>
      <c r="Y1433" s="241"/>
      <c r="Z1433" s="241"/>
    </row>
    <row r="1434" spans="3:26" ht="16.5">
      <c r="C1434" s="101"/>
      <c r="D1434" s="101"/>
      <c r="E1434" s="101"/>
      <c r="F1434" s="101"/>
      <c r="G1434" s="101"/>
      <c r="H1434" s="101"/>
      <c r="I1434" s="101"/>
      <c r="J1434" s="101"/>
      <c r="S1434" s="101"/>
      <c r="T1434" s="241"/>
      <c r="U1434" s="241"/>
      <c r="V1434" s="241"/>
      <c r="W1434" s="241"/>
      <c r="X1434" s="241"/>
      <c r="Y1434" s="241"/>
      <c r="Z1434" s="241"/>
    </row>
    <row r="1435" spans="3:26" ht="16.5">
      <c r="C1435" s="101"/>
      <c r="D1435" s="101"/>
      <c r="E1435" s="101"/>
      <c r="F1435" s="101"/>
      <c r="G1435" s="101"/>
      <c r="H1435" s="101"/>
      <c r="I1435" s="101"/>
      <c r="J1435" s="101"/>
      <c r="S1435" s="101"/>
      <c r="T1435" s="241"/>
      <c r="U1435" s="241"/>
      <c r="V1435" s="241"/>
      <c r="W1435" s="241"/>
      <c r="X1435" s="241"/>
      <c r="Y1435" s="241"/>
      <c r="Z1435" s="241"/>
    </row>
    <row r="1436" spans="3:26" ht="16.5">
      <c r="C1436" s="101"/>
      <c r="D1436" s="101"/>
      <c r="E1436" s="101"/>
      <c r="F1436" s="101"/>
      <c r="G1436" s="101"/>
      <c r="H1436" s="101"/>
      <c r="I1436" s="101"/>
      <c r="J1436" s="101"/>
      <c r="S1436" s="101"/>
      <c r="T1436" s="241"/>
      <c r="U1436" s="241"/>
      <c r="V1436" s="241"/>
      <c r="W1436" s="241"/>
      <c r="X1436" s="241"/>
      <c r="Y1436" s="241"/>
      <c r="Z1436" s="241"/>
    </row>
    <row r="1437" spans="3:26" ht="16.5">
      <c r="C1437" s="101"/>
      <c r="D1437" s="101"/>
      <c r="E1437" s="101"/>
      <c r="F1437" s="101"/>
      <c r="G1437" s="101"/>
      <c r="H1437" s="101"/>
      <c r="I1437" s="101"/>
      <c r="J1437" s="101"/>
      <c r="S1437" s="101"/>
      <c r="T1437" s="241"/>
      <c r="U1437" s="241"/>
      <c r="V1437" s="241"/>
      <c r="W1437" s="241"/>
      <c r="X1437" s="241"/>
      <c r="Y1437" s="241"/>
      <c r="Z1437" s="241"/>
    </row>
    <row r="1438" spans="3:26" ht="16.5">
      <c r="C1438" s="101"/>
      <c r="D1438" s="101"/>
      <c r="E1438" s="101"/>
      <c r="F1438" s="101"/>
      <c r="G1438" s="101"/>
      <c r="H1438" s="101"/>
      <c r="I1438" s="101"/>
      <c r="J1438" s="101"/>
      <c r="S1438" s="101"/>
      <c r="T1438" s="241"/>
      <c r="U1438" s="241"/>
      <c r="V1438" s="241"/>
      <c r="W1438" s="241"/>
      <c r="X1438" s="241"/>
      <c r="Y1438" s="241"/>
      <c r="Z1438" s="241"/>
    </row>
    <row r="1439" spans="3:26" ht="16.5">
      <c r="C1439" s="101"/>
      <c r="D1439" s="101"/>
      <c r="E1439" s="101"/>
      <c r="F1439" s="101"/>
      <c r="G1439" s="101"/>
      <c r="H1439" s="101"/>
      <c r="I1439" s="101"/>
      <c r="J1439" s="101"/>
      <c r="S1439" s="101"/>
      <c r="T1439" s="241"/>
      <c r="U1439" s="241"/>
      <c r="V1439" s="241"/>
      <c r="W1439" s="241"/>
      <c r="X1439" s="241"/>
      <c r="Y1439" s="241"/>
      <c r="Z1439" s="241"/>
    </row>
    <row r="1440" spans="3:26" ht="16.5">
      <c r="C1440" s="101"/>
      <c r="D1440" s="101"/>
      <c r="E1440" s="101"/>
      <c r="F1440" s="101"/>
      <c r="G1440" s="101"/>
      <c r="H1440" s="101"/>
      <c r="I1440" s="101"/>
      <c r="J1440" s="101"/>
      <c r="S1440" s="101"/>
      <c r="T1440" s="241"/>
      <c r="U1440" s="241"/>
      <c r="V1440" s="241"/>
      <c r="W1440" s="241"/>
      <c r="X1440" s="241"/>
      <c r="Y1440" s="241"/>
      <c r="Z1440" s="241"/>
    </row>
    <row r="1441" spans="3:26" ht="16.5">
      <c r="C1441" s="101"/>
      <c r="D1441" s="101"/>
      <c r="E1441" s="101"/>
      <c r="F1441" s="101"/>
      <c r="G1441" s="101"/>
      <c r="H1441" s="101"/>
      <c r="I1441" s="101"/>
      <c r="J1441" s="101"/>
      <c r="S1441" s="101"/>
      <c r="T1441" s="241"/>
      <c r="U1441" s="241"/>
      <c r="V1441" s="241"/>
      <c r="W1441" s="241"/>
      <c r="X1441" s="241"/>
      <c r="Y1441" s="241"/>
      <c r="Z1441" s="241"/>
    </row>
    <row r="1442" spans="3:26" ht="16.5">
      <c r="C1442" s="101"/>
      <c r="D1442" s="101"/>
      <c r="E1442" s="101"/>
      <c r="F1442" s="101"/>
      <c r="G1442" s="101"/>
      <c r="H1442" s="101"/>
      <c r="I1442" s="101"/>
      <c r="J1442" s="101"/>
      <c r="S1442" s="101"/>
      <c r="T1442" s="241"/>
      <c r="U1442" s="241"/>
      <c r="V1442" s="241"/>
      <c r="W1442" s="241"/>
      <c r="X1442" s="241"/>
      <c r="Y1442" s="241"/>
      <c r="Z1442" s="241"/>
    </row>
    <row r="1443" spans="3:26" ht="16.5">
      <c r="C1443" s="101"/>
      <c r="D1443" s="101"/>
      <c r="E1443" s="101"/>
      <c r="F1443" s="101"/>
      <c r="G1443" s="101"/>
      <c r="H1443" s="101"/>
      <c r="I1443" s="101"/>
      <c r="J1443" s="101"/>
      <c r="S1443" s="101"/>
      <c r="T1443" s="241"/>
      <c r="U1443" s="241"/>
      <c r="V1443" s="241"/>
      <c r="W1443" s="241"/>
      <c r="X1443" s="241"/>
      <c r="Y1443" s="241"/>
      <c r="Z1443" s="241"/>
    </row>
    <row r="1444" spans="3:26" ht="16.5">
      <c r="C1444" s="101"/>
      <c r="D1444" s="101"/>
      <c r="E1444" s="101"/>
      <c r="F1444" s="101"/>
      <c r="G1444" s="101"/>
      <c r="H1444" s="101"/>
      <c r="I1444" s="101"/>
      <c r="J1444" s="101"/>
      <c r="S1444" s="101"/>
      <c r="T1444" s="241"/>
      <c r="U1444" s="241"/>
      <c r="V1444" s="241"/>
      <c r="W1444" s="241"/>
      <c r="X1444" s="241"/>
      <c r="Y1444" s="241"/>
      <c r="Z1444" s="241"/>
    </row>
    <row r="1445" spans="3:26" ht="16.5">
      <c r="C1445" s="101"/>
      <c r="D1445" s="101"/>
      <c r="E1445" s="101"/>
      <c r="F1445" s="101"/>
      <c r="G1445" s="101"/>
      <c r="H1445" s="101"/>
      <c r="I1445" s="101"/>
      <c r="J1445" s="101"/>
      <c r="S1445" s="101"/>
      <c r="T1445" s="241"/>
      <c r="U1445" s="241"/>
      <c r="V1445" s="241"/>
      <c r="W1445" s="241"/>
      <c r="X1445" s="241"/>
      <c r="Y1445" s="241"/>
      <c r="Z1445" s="241"/>
    </row>
    <row r="1446" spans="3:26" ht="16.5">
      <c r="C1446" s="101"/>
      <c r="D1446" s="101"/>
      <c r="E1446" s="101"/>
      <c r="F1446" s="101"/>
      <c r="G1446" s="101"/>
      <c r="H1446" s="101"/>
      <c r="I1446" s="101"/>
      <c r="J1446" s="101"/>
      <c r="S1446" s="101"/>
      <c r="T1446" s="241"/>
      <c r="U1446" s="241"/>
      <c r="V1446" s="241"/>
      <c r="W1446" s="241"/>
      <c r="X1446" s="241"/>
      <c r="Y1446" s="241"/>
      <c r="Z1446" s="241"/>
    </row>
    <row r="1447" spans="3:26" ht="16.5">
      <c r="C1447" s="101"/>
      <c r="D1447" s="101"/>
      <c r="E1447" s="101"/>
      <c r="F1447" s="101"/>
      <c r="G1447" s="101"/>
      <c r="H1447" s="101"/>
      <c r="I1447" s="101"/>
      <c r="J1447" s="101"/>
      <c r="S1447" s="101"/>
      <c r="T1447" s="241"/>
      <c r="U1447" s="241"/>
      <c r="V1447" s="241"/>
      <c r="W1447" s="241"/>
      <c r="X1447" s="241"/>
      <c r="Y1447" s="241"/>
      <c r="Z1447" s="241"/>
    </row>
    <row r="1448" spans="3:26" ht="16.5">
      <c r="C1448" s="101"/>
      <c r="D1448" s="101"/>
      <c r="E1448" s="101"/>
      <c r="F1448" s="101"/>
      <c r="G1448" s="101"/>
      <c r="H1448" s="101"/>
      <c r="I1448" s="101"/>
      <c r="J1448" s="101"/>
      <c r="S1448" s="101"/>
      <c r="T1448" s="241"/>
      <c r="U1448" s="241"/>
      <c r="V1448" s="241"/>
      <c r="W1448" s="241"/>
      <c r="X1448" s="241"/>
      <c r="Y1448" s="241"/>
      <c r="Z1448" s="241"/>
    </row>
    <row r="1449" spans="3:26" ht="16.5">
      <c r="C1449" s="101"/>
      <c r="D1449" s="101"/>
      <c r="E1449" s="101"/>
      <c r="F1449" s="101"/>
      <c r="G1449" s="101"/>
      <c r="H1449" s="101"/>
      <c r="I1449" s="101"/>
      <c r="J1449" s="101"/>
      <c r="S1449" s="101"/>
      <c r="T1449" s="241"/>
      <c r="U1449" s="241"/>
      <c r="V1449" s="241"/>
      <c r="W1449" s="241"/>
      <c r="X1449" s="241"/>
      <c r="Y1449" s="241"/>
      <c r="Z1449" s="241"/>
    </row>
    <row r="1450" spans="3:26" ht="16.5">
      <c r="C1450" s="101"/>
      <c r="D1450" s="101"/>
      <c r="E1450" s="101"/>
      <c r="F1450" s="101"/>
      <c r="G1450" s="101"/>
      <c r="H1450" s="101"/>
      <c r="I1450" s="101"/>
      <c r="J1450" s="101"/>
      <c r="S1450" s="101"/>
      <c r="T1450" s="241"/>
      <c r="U1450" s="241"/>
      <c r="V1450" s="241"/>
      <c r="W1450" s="241"/>
      <c r="X1450" s="241"/>
      <c r="Y1450" s="241"/>
      <c r="Z1450" s="241"/>
    </row>
    <row r="1451" spans="3:26" ht="16.5">
      <c r="C1451" s="101"/>
      <c r="D1451" s="101"/>
      <c r="E1451" s="101"/>
      <c r="F1451" s="101"/>
      <c r="G1451" s="101"/>
      <c r="H1451" s="101"/>
      <c r="I1451" s="101"/>
      <c r="J1451" s="101"/>
      <c r="S1451" s="101"/>
      <c r="T1451" s="241"/>
      <c r="U1451" s="241"/>
      <c r="V1451" s="241"/>
      <c r="W1451" s="241"/>
      <c r="X1451" s="241"/>
      <c r="Y1451" s="241"/>
      <c r="Z1451" s="241"/>
    </row>
    <row r="1452" spans="3:26" ht="16.5">
      <c r="C1452" s="101"/>
      <c r="D1452" s="101"/>
      <c r="E1452" s="101"/>
      <c r="F1452" s="101"/>
      <c r="G1452" s="101"/>
      <c r="H1452" s="101"/>
      <c r="I1452" s="101"/>
      <c r="J1452" s="101"/>
      <c r="S1452" s="101"/>
      <c r="T1452" s="241"/>
      <c r="U1452" s="241"/>
      <c r="V1452" s="241"/>
      <c r="W1452" s="241"/>
      <c r="X1452" s="241"/>
      <c r="Y1452" s="241"/>
      <c r="Z1452" s="241"/>
    </row>
    <row r="1453" spans="3:26" ht="16.5">
      <c r="C1453" s="101"/>
      <c r="D1453" s="101"/>
      <c r="E1453" s="101"/>
      <c r="F1453" s="101"/>
      <c r="G1453" s="101"/>
      <c r="H1453" s="101"/>
      <c r="I1453" s="101"/>
      <c r="J1453" s="101"/>
      <c r="S1453" s="101"/>
      <c r="T1453" s="241"/>
      <c r="U1453" s="241"/>
      <c r="V1453" s="241"/>
      <c r="W1453" s="241"/>
      <c r="X1453" s="241"/>
      <c r="Y1453" s="241"/>
      <c r="Z1453" s="241"/>
    </row>
    <row r="1454" spans="3:26" ht="16.5">
      <c r="C1454" s="101"/>
      <c r="D1454" s="101"/>
      <c r="E1454" s="101"/>
      <c r="F1454" s="101"/>
      <c r="G1454" s="101"/>
      <c r="H1454" s="101"/>
      <c r="I1454" s="101"/>
      <c r="J1454" s="101"/>
      <c r="S1454" s="101"/>
      <c r="T1454" s="241"/>
      <c r="U1454" s="241"/>
      <c r="V1454" s="241"/>
      <c r="W1454" s="241"/>
      <c r="X1454" s="241"/>
      <c r="Y1454" s="241"/>
      <c r="Z1454" s="241"/>
    </row>
    <row r="1455" spans="3:26" ht="16.5">
      <c r="C1455" s="101"/>
      <c r="D1455" s="101"/>
      <c r="E1455" s="101"/>
      <c r="F1455" s="101"/>
      <c r="G1455" s="101"/>
      <c r="H1455" s="101"/>
      <c r="I1455" s="101"/>
      <c r="J1455" s="101"/>
      <c r="S1455" s="101"/>
      <c r="T1455" s="241"/>
      <c r="U1455" s="241"/>
      <c r="V1455" s="241"/>
      <c r="W1455" s="241"/>
      <c r="X1455" s="241"/>
      <c r="Y1455" s="241"/>
      <c r="Z1455" s="241"/>
    </row>
    <row r="1456" spans="3:26" ht="16.5">
      <c r="C1456" s="101"/>
      <c r="D1456" s="101"/>
      <c r="E1456" s="101"/>
      <c r="F1456" s="101"/>
      <c r="G1456" s="101"/>
      <c r="H1456" s="101"/>
      <c r="I1456" s="101"/>
      <c r="J1456" s="101"/>
      <c r="S1456" s="101"/>
      <c r="T1456" s="241"/>
      <c r="U1456" s="241"/>
      <c r="V1456" s="241"/>
      <c r="W1456" s="241"/>
      <c r="X1456" s="241"/>
      <c r="Y1456" s="241"/>
      <c r="Z1456" s="241"/>
    </row>
    <row r="1457" spans="3:26" ht="16.5">
      <c r="C1457" s="101"/>
      <c r="D1457" s="101"/>
      <c r="E1457" s="101"/>
      <c r="F1457" s="101"/>
      <c r="G1457" s="101"/>
      <c r="H1457" s="101"/>
      <c r="I1457" s="101"/>
      <c r="J1457" s="101"/>
      <c r="S1457" s="101"/>
      <c r="T1457" s="241"/>
      <c r="U1457" s="241"/>
      <c r="V1457" s="241"/>
      <c r="W1457" s="241"/>
      <c r="X1457" s="241"/>
      <c r="Y1457" s="241"/>
      <c r="Z1457" s="241"/>
    </row>
    <row r="1458" spans="3:26" ht="16.5">
      <c r="C1458" s="101"/>
      <c r="D1458" s="101"/>
      <c r="E1458" s="101"/>
      <c r="F1458" s="101"/>
      <c r="G1458" s="101"/>
      <c r="H1458" s="101"/>
      <c r="I1458" s="101"/>
      <c r="J1458" s="101"/>
      <c r="S1458" s="101"/>
      <c r="T1458" s="241"/>
      <c r="U1458" s="241"/>
      <c r="V1458" s="241"/>
      <c r="W1458" s="241"/>
      <c r="X1458" s="241"/>
      <c r="Y1458" s="241"/>
      <c r="Z1458" s="241"/>
    </row>
    <row r="1459" spans="3:26" ht="16.5">
      <c r="C1459" s="101"/>
      <c r="D1459" s="101"/>
      <c r="E1459" s="101"/>
      <c r="F1459" s="101"/>
      <c r="G1459" s="101"/>
      <c r="H1459" s="101"/>
      <c r="I1459" s="101"/>
      <c r="J1459" s="101"/>
      <c r="S1459" s="101"/>
      <c r="T1459" s="241"/>
      <c r="U1459" s="241"/>
      <c r="V1459" s="241"/>
      <c r="W1459" s="241"/>
      <c r="X1459" s="241"/>
      <c r="Y1459" s="241"/>
      <c r="Z1459" s="241"/>
    </row>
    <row r="1460" spans="3:26" ht="16.5">
      <c r="C1460" s="101"/>
      <c r="D1460" s="101"/>
      <c r="E1460" s="101"/>
      <c r="F1460" s="101"/>
      <c r="G1460" s="101"/>
      <c r="H1460" s="101"/>
      <c r="I1460" s="101"/>
      <c r="J1460" s="101"/>
      <c r="S1460" s="101"/>
      <c r="T1460" s="241"/>
      <c r="U1460" s="241"/>
      <c r="V1460" s="241"/>
      <c r="W1460" s="241"/>
      <c r="X1460" s="241"/>
      <c r="Y1460" s="241"/>
      <c r="Z1460" s="241"/>
    </row>
    <row r="1461" spans="3:26" ht="16.5">
      <c r="C1461" s="101"/>
      <c r="D1461" s="101"/>
      <c r="E1461" s="101"/>
      <c r="F1461" s="101"/>
      <c r="G1461" s="101"/>
      <c r="H1461" s="101"/>
      <c r="I1461" s="101"/>
      <c r="J1461" s="101"/>
      <c r="S1461" s="101"/>
      <c r="T1461" s="241"/>
      <c r="U1461" s="241"/>
      <c r="V1461" s="241"/>
      <c r="W1461" s="241"/>
      <c r="X1461" s="241"/>
      <c r="Y1461" s="241"/>
      <c r="Z1461" s="241"/>
    </row>
    <row r="1462" spans="3:26" ht="16.5">
      <c r="C1462" s="101"/>
      <c r="D1462" s="101"/>
      <c r="E1462" s="101"/>
      <c r="F1462" s="101"/>
      <c r="G1462" s="101"/>
      <c r="H1462" s="101"/>
      <c r="I1462" s="101"/>
      <c r="J1462" s="101"/>
      <c r="S1462" s="101"/>
      <c r="T1462" s="241"/>
      <c r="U1462" s="241"/>
      <c r="V1462" s="241"/>
      <c r="W1462" s="241"/>
      <c r="X1462" s="241"/>
      <c r="Y1462" s="241"/>
      <c r="Z1462" s="241"/>
    </row>
    <row r="1463" spans="3:26" ht="16.5">
      <c r="C1463" s="101"/>
      <c r="D1463" s="101"/>
      <c r="E1463" s="101"/>
      <c r="F1463" s="101"/>
      <c r="G1463" s="101"/>
      <c r="H1463" s="101"/>
      <c r="I1463" s="101"/>
      <c r="J1463" s="101"/>
      <c r="S1463" s="101"/>
      <c r="T1463" s="241"/>
      <c r="U1463" s="241"/>
      <c r="V1463" s="241"/>
      <c r="W1463" s="241"/>
      <c r="X1463" s="241"/>
      <c r="Y1463" s="241"/>
      <c r="Z1463" s="241"/>
    </row>
    <row r="1464" spans="3:26" ht="16.5">
      <c r="C1464" s="101"/>
      <c r="D1464" s="101"/>
      <c r="E1464" s="101"/>
      <c r="F1464" s="101"/>
      <c r="G1464" s="101"/>
      <c r="H1464" s="101"/>
      <c r="I1464" s="101"/>
      <c r="J1464" s="101"/>
      <c r="S1464" s="101"/>
      <c r="T1464" s="241"/>
      <c r="U1464" s="241"/>
      <c r="V1464" s="241"/>
      <c r="W1464" s="241"/>
      <c r="X1464" s="241"/>
      <c r="Y1464" s="241"/>
      <c r="Z1464" s="241"/>
    </row>
    <row r="1465" spans="3:26" ht="16.5">
      <c r="C1465" s="101"/>
      <c r="D1465" s="101"/>
      <c r="E1465" s="101"/>
      <c r="F1465" s="101"/>
      <c r="G1465" s="101"/>
      <c r="H1465" s="101"/>
      <c r="I1465" s="101"/>
      <c r="J1465" s="101"/>
      <c r="S1465" s="101"/>
      <c r="T1465" s="241"/>
      <c r="U1465" s="241"/>
      <c r="V1465" s="241"/>
      <c r="W1465" s="241"/>
      <c r="X1465" s="241"/>
      <c r="Y1465" s="241"/>
      <c r="Z1465" s="241"/>
    </row>
    <row r="1466" spans="3:26" ht="16.5">
      <c r="C1466" s="101"/>
      <c r="D1466" s="101"/>
      <c r="E1466" s="101"/>
      <c r="F1466" s="101"/>
      <c r="G1466" s="101"/>
      <c r="H1466" s="101"/>
      <c r="I1466" s="101"/>
      <c r="J1466" s="101"/>
      <c r="S1466" s="101"/>
      <c r="T1466" s="241"/>
      <c r="U1466" s="241"/>
      <c r="V1466" s="241"/>
      <c r="W1466" s="241"/>
      <c r="X1466" s="241"/>
      <c r="Y1466" s="241"/>
      <c r="Z1466" s="241"/>
    </row>
    <row r="1467" spans="3:26" ht="16.5">
      <c r="C1467" s="101"/>
      <c r="D1467" s="101"/>
      <c r="E1467" s="101"/>
      <c r="F1467" s="101"/>
      <c r="G1467" s="101"/>
      <c r="H1467" s="101"/>
      <c r="I1467" s="101"/>
      <c r="J1467" s="101"/>
      <c r="S1467" s="101"/>
      <c r="T1467" s="241"/>
      <c r="U1467" s="241"/>
      <c r="V1467" s="241"/>
      <c r="W1467" s="241"/>
      <c r="X1467" s="241"/>
      <c r="Y1467" s="241"/>
      <c r="Z1467" s="241"/>
    </row>
    <row r="1468" spans="3:26" ht="16.5">
      <c r="C1468" s="101"/>
      <c r="D1468" s="101"/>
      <c r="E1468" s="101"/>
      <c r="F1468" s="101"/>
      <c r="G1468" s="101"/>
      <c r="H1468" s="101"/>
      <c r="I1468" s="101"/>
      <c r="J1468" s="101"/>
      <c r="S1468" s="101"/>
      <c r="T1468" s="241"/>
      <c r="U1468" s="241"/>
      <c r="V1468" s="241"/>
      <c r="W1468" s="241"/>
      <c r="X1468" s="241"/>
      <c r="Y1468" s="241"/>
      <c r="Z1468" s="241"/>
    </row>
    <row r="1469" spans="3:26" ht="16.5">
      <c r="C1469" s="101"/>
      <c r="D1469" s="101"/>
      <c r="E1469" s="101"/>
      <c r="F1469" s="101"/>
      <c r="G1469" s="101"/>
      <c r="H1469" s="101"/>
      <c r="I1469" s="101"/>
      <c r="J1469" s="101"/>
      <c r="S1469" s="101"/>
      <c r="T1469" s="241"/>
      <c r="U1469" s="241"/>
      <c r="V1469" s="241"/>
      <c r="W1469" s="241"/>
      <c r="X1469" s="241"/>
      <c r="Y1469" s="241"/>
      <c r="Z1469" s="241"/>
    </row>
    <row r="1470" spans="3:26" ht="16.5">
      <c r="C1470" s="101"/>
      <c r="D1470" s="101"/>
      <c r="E1470" s="101"/>
      <c r="F1470" s="101"/>
      <c r="G1470" s="101"/>
      <c r="H1470" s="101"/>
      <c r="I1470" s="101"/>
      <c r="J1470" s="101"/>
      <c r="S1470" s="101"/>
      <c r="T1470" s="241"/>
      <c r="U1470" s="241"/>
      <c r="V1470" s="241"/>
      <c r="W1470" s="241"/>
      <c r="X1470" s="241"/>
      <c r="Y1470" s="241"/>
      <c r="Z1470" s="241"/>
    </row>
    <row r="1471" spans="3:26" ht="16.5">
      <c r="C1471" s="101"/>
      <c r="D1471" s="101"/>
      <c r="E1471" s="101"/>
      <c r="F1471" s="101"/>
      <c r="G1471" s="101"/>
      <c r="H1471" s="101"/>
      <c r="I1471" s="101"/>
      <c r="J1471" s="101"/>
      <c r="S1471" s="101"/>
      <c r="T1471" s="241"/>
      <c r="U1471" s="241"/>
      <c r="V1471" s="241"/>
      <c r="W1471" s="241"/>
      <c r="X1471" s="241"/>
      <c r="Y1471" s="241"/>
      <c r="Z1471" s="241"/>
    </row>
    <row r="1472" spans="3:26" ht="16.5">
      <c r="C1472" s="101"/>
      <c r="D1472" s="101"/>
      <c r="E1472" s="101"/>
      <c r="F1472" s="101"/>
      <c r="G1472" s="101"/>
      <c r="H1472" s="101"/>
      <c r="I1472" s="101"/>
      <c r="J1472" s="101"/>
      <c r="S1472" s="101"/>
      <c r="T1472" s="241"/>
      <c r="U1472" s="241"/>
      <c r="V1472" s="241"/>
      <c r="W1472" s="241"/>
      <c r="X1472" s="241"/>
      <c r="Y1472" s="241"/>
      <c r="Z1472" s="241"/>
    </row>
    <row r="1473" spans="3:26" ht="16.5">
      <c r="C1473" s="101"/>
      <c r="D1473" s="101"/>
      <c r="E1473" s="101"/>
      <c r="F1473" s="101"/>
      <c r="G1473" s="101"/>
      <c r="H1473" s="101"/>
      <c r="I1473" s="101"/>
      <c r="J1473" s="101"/>
      <c r="S1473" s="101"/>
      <c r="T1473" s="241"/>
      <c r="U1473" s="241"/>
      <c r="V1473" s="241"/>
      <c r="W1473" s="241"/>
      <c r="X1473" s="241"/>
      <c r="Y1473" s="241"/>
      <c r="Z1473" s="241"/>
    </row>
    <row r="1474" spans="3:26" ht="16.5">
      <c r="C1474" s="101"/>
      <c r="D1474" s="101"/>
      <c r="E1474" s="101"/>
      <c r="F1474" s="101"/>
      <c r="G1474" s="101"/>
      <c r="H1474" s="101"/>
      <c r="I1474" s="101"/>
      <c r="J1474" s="101"/>
      <c r="S1474" s="101"/>
      <c r="T1474" s="241"/>
      <c r="U1474" s="241"/>
      <c r="V1474" s="241"/>
      <c r="W1474" s="241"/>
      <c r="X1474" s="241"/>
      <c r="Y1474" s="241"/>
      <c r="Z1474" s="241"/>
    </row>
    <row r="1475" spans="3:26" ht="16.5">
      <c r="C1475" s="101"/>
      <c r="D1475" s="101"/>
      <c r="E1475" s="101"/>
      <c r="F1475" s="101"/>
      <c r="G1475" s="101"/>
      <c r="H1475" s="101"/>
      <c r="I1475" s="101"/>
      <c r="J1475" s="101"/>
      <c r="S1475" s="101"/>
      <c r="T1475" s="241"/>
      <c r="U1475" s="241"/>
      <c r="V1475" s="241"/>
      <c r="W1475" s="241"/>
      <c r="X1475" s="241"/>
      <c r="Y1475" s="241"/>
      <c r="Z1475" s="241"/>
    </row>
    <row r="1476" spans="3:26" ht="16.5">
      <c r="C1476" s="101"/>
      <c r="D1476" s="101"/>
      <c r="E1476" s="101"/>
      <c r="F1476" s="101"/>
      <c r="G1476" s="101"/>
      <c r="H1476" s="101"/>
      <c r="I1476" s="101"/>
      <c r="J1476" s="101"/>
      <c r="S1476" s="101"/>
      <c r="T1476" s="241"/>
      <c r="U1476" s="241"/>
      <c r="V1476" s="241"/>
      <c r="W1476" s="241"/>
      <c r="X1476" s="241"/>
      <c r="Y1476" s="241"/>
      <c r="Z1476" s="241"/>
    </row>
    <row r="1477" spans="3:26" ht="16.5">
      <c r="C1477" s="101"/>
      <c r="D1477" s="101"/>
      <c r="E1477" s="101"/>
      <c r="F1477" s="101"/>
      <c r="G1477" s="101"/>
      <c r="H1477" s="101"/>
      <c r="I1477" s="101"/>
      <c r="J1477" s="101"/>
      <c r="S1477" s="101"/>
      <c r="T1477" s="241"/>
      <c r="U1477" s="241"/>
      <c r="V1477" s="241"/>
      <c r="W1477" s="241"/>
      <c r="X1477" s="241"/>
      <c r="Y1477" s="241"/>
      <c r="Z1477" s="241"/>
    </row>
    <row r="1478" spans="3:26" ht="16.5">
      <c r="C1478" s="101"/>
      <c r="D1478" s="101"/>
      <c r="E1478" s="101"/>
      <c r="F1478" s="101"/>
      <c r="G1478" s="101"/>
      <c r="H1478" s="101"/>
      <c r="I1478" s="101"/>
      <c r="J1478" s="101"/>
      <c r="S1478" s="101"/>
      <c r="T1478" s="241"/>
      <c r="U1478" s="241"/>
      <c r="V1478" s="241"/>
      <c r="W1478" s="241"/>
      <c r="X1478" s="241"/>
      <c r="Y1478" s="241"/>
      <c r="Z1478" s="241"/>
    </row>
    <row r="1479" spans="3:26" ht="16.5">
      <c r="C1479" s="101"/>
      <c r="D1479" s="101"/>
      <c r="E1479" s="101"/>
      <c r="F1479" s="101"/>
      <c r="G1479" s="101"/>
      <c r="H1479" s="101"/>
      <c r="I1479" s="101"/>
      <c r="J1479" s="101"/>
      <c r="S1479" s="101"/>
      <c r="T1479" s="241"/>
      <c r="U1479" s="241"/>
      <c r="V1479" s="241"/>
      <c r="W1479" s="241"/>
      <c r="X1479" s="241"/>
      <c r="Y1479" s="241"/>
      <c r="Z1479" s="241"/>
    </row>
    <row r="1480" spans="3:26" ht="16.5">
      <c r="C1480" s="101"/>
      <c r="D1480" s="101"/>
      <c r="E1480" s="101"/>
      <c r="F1480" s="101"/>
      <c r="G1480" s="101"/>
      <c r="H1480" s="101"/>
      <c r="I1480" s="101"/>
      <c r="J1480" s="101"/>
      <c r="S1480" s="101"/>
      <c r="T1480" s="241"/>
      <c r="U1480" s="241"/>
      <c r="V1480" s="241"/>
      <c r="W1480" s="241"/>
      <c r="X1480" s="241"/>
      <c r="Y1480" s="241"/>
      <c r="Z1480" s="241"/>
    </row>
    <row r="1481" spans="3:26" ht="16.5">
      <c r="C1481" s="101"/>
      <c r="D1481" s="101"/>
      <c r="E1481" s="101"/>
      <c r="F1481" s="101"/>
      <c r="G1481" s="101"/>
      <c r="H1481" s="101"/>
      <c r="I1481" s="101"/>
      <c r="J1481" s="101"/>
      <c r="S1481" s="101"/>
      <c r="T1481" s="241"/>
      <c r="U1481" s="241"/>
      <c r="V1481" s="241"/>
      <c r="W1481" s="241"/>
      <c r="X1481" s="241"/>
      <c r="Y1481" s="241"/>
      <c r="Z1481" s="241"/>
    </row>
    <row r="1482" spans="3:26" ht="16.5">
      <c r="C1482" s="101"/>
      <c r="D1482" s="101"/>
      <c r="E1482" s="101"/>
      <c r="F1482" s="101"/>
      <c r="G1482" s="101"/>
      <c r="H1482" s="101"/>
      <c r="I1482" s="101"/>
      <c r="J1482" s="101"/>
      <c r="S1482" s="101"/>
      <c r="T1482" s="241"/>
      <c r="U1482" s="241"/>
      <c r="V1482" s="241"/>
      <c r="W1482" s="241"/>
      <c r="X1482" s="241"/>
      <c r="Y1482" s="241"/>
      <c r="Z1482" s="241"/>
    </row>
    <row r="1483" spans="3:26" ht="16.5">
      <c r="C1483" s="101"/>
      <c r="D1483" s="101"/>
      <c r="E1483" s="101"/>
      <c r="F1483" s="101"/>
      <c r="G1483" s="101"/>
      <c r="H1483" s="101"/>
      <c r="I1483" s="101"/>
      <c r="J1483" s="101"/>
      <c r="S1483" s="101"/>
      <c r="T1483" s="241"/>
      <c r="U1483" s="241"/>
      <c r="V1483" s="241"/>
      <c r="W1483" s="241"/>
      <c r="X1483" s="241"/>
      <c r="Y1483" s="241"/>
      <c r="Z1483" s="241"/>
    </row>
    <row r="1484" spans="3:26" ht="16.5">
      <c r="C1484" s="101"/>
      <c r="D1484" s="101"/>
      <c r="E1484" s="101"/>
      <c r="F1484" s="101"/>
      <c r="G1484" s="101"/>
      <c r="H1484" s="101"/>
      <c r="I1484" s="101"/>
      <c r="J1484" s="101"/>
      <c r="S1484" s="101"/>
      <c r="T1484" s="241"/>
      <c r="U1484" s="241"/>
      <c r="V1484" s="241"/>
      <c r="W1484" s="241"/>
      <c r="X1484" s="241"/>
      <c r="Y1484" s="241"/>
      <c r="Z1484" s="241"/>
    </row>
    <row r="1485" spans="3:26" ht="16.5">
      <c r="C1485" s="101"/>
      <c r="D1485" s="101"/>
      <c r="E1485" s="101"/>
      <c r="F1485" s="101"/>
      <c r="G1485" s="101"/>
      <c r="H1485" s="101"/>
      <c r="I1485" s="101"/>
      <c r="J1485" s="101"/>
      <c r="S1485" s="101"/>
      <c r="T1485" s="241"/>
      <c r="U1485" s="241"/>
      <c r="V1485" s="241"/>
      <c r="W1485" s="241"/>
      <c r="X1485" s="241"/>
      <c r="Y1485" s="241"/>
      <c r="Z1485" s="241"/>
    </row>
    <row r="1486" spans="3:26" ht="16.5">
      <c r="C1486" s="101"/>
      <c r="D1486" s="101"/>
      <c r="E1486" s="101"/>
      <c r="F1486" s="101"/>
      <c r="G1486" s="101"/>
      <c r="H1486" s="101"/>
      <c r="I1486" s="101"/>
      <c r="J1486" s="101"/>
      <c r="S1486" s="101"/>
      <c r="T1486" s="241"/>
      <c r="U1486" s="241"/>
      <c r="V1486" s="241"/>
      <c r="W1486" s="241"/>
      <c r="X1486" s="241"/>
      <c r="Y1486" s="241"/>
      <c r="Z1486" s="241"/>
    </row>
    <row r="1487" spans="3:26" ht="16.5">
      <c r="C1487" s="101"/>
      <c r="D1487" s="101"/>
      <c r="E1487" s="101"/>
      <c r="F1487" s="101"/>
      <c r="G1487" s="101"/>
      <c r="H1487" s="101"/>
      <c r="I1487" s="101"/>
      <c r="J1487" s="101"/>
      <c r="S1487" s="101"/>
      <c r="T1487" s="241"/>
      <c r="U1487" s="241"/>
      <c r="V1487" s="241"/>
      <c r="W1487" s="241"/>
      <c r="X1487" s="241"/>
      <c r="Y1487" s="241"/>
      <c r="Z1487" s="241"/>
    </row>
    <row r="1488" spans="3:26" ht="16.5">
      <c r="C1488" s="101"/>
      <c r="D1488" s="101"/>
      <c r="E1488" s="101"/>
      <c r="F1488" s="101"/>
      <c r="G1488" s="101"/>
      <c r="H1488" s="101"/>
      <c r="I1488" s="101"/>
      <c r="J1488" s="101"/>
      <c r="S1488" s="101"/>
      <c r="T1488" s="241"/>
      <c r="U1488" s="241"/>
      <c r="V1488" s="241"/>
      <c r="W1488" s="241"/>
      <c r="X1488" s="241"/>
      <c r="Y1488" s="241"/>
      <c r="Z1488" s="241"/>
    </row>
    <row r="1489" spans="3:26" ht="16.5">
      <c r="C1489" s="101"/>
      <c r="D1489" s="101"/>
      <c r="E1489" s="101"/>
      <c r="F1489" s="101"/>
      <c r="G1489" s="101"/>
      <c r="H1489" s="101"/>
      <c r="I1489" s="101"/>
      <c r="J1489" s="101"/>
      <c r="S1489" s="101"/>
      <c r="T1489" s="241"/>
      <c r="U1489" s="241"/>
      <c r="V1489" s="241"/>
      <c r="W1489" s="241"/>
      <c r="X1489" s="241"/>
      <c r="Y1489" s="241"/>
      <c r="Z1489" s="241"/>
    </row>
    <row r="1490" spans="3:26" ht="16.5">
      <c r="C1490" s="101"/>
      <c r="D1490" s="101"/>
      <c r="E1490" s="101"/>
      <c r="F1490" s="101"/>
      <c r="G1490" s="101"/>
      <c r="H1490" s="101"/>
      <c r="I1490" s="101"/>
      <c r="J1490" s="101"/>
      <c r="S1490" s="101"/>
      <c r="T1490" s="241"/>
      <c r="U1490" s="241"/>
      <c r="V1490" s="241"/>
      <c r="W1490" s="241"/>
      <c r="X1490" s="241"/>
      <c r="Y1490" s="241"/>
      <c r="Z1490" s="241"/>
    </row>
    <row r="1491" spans="3:26" ht="16.5">
      <c r="C1491" s="101"/>
      <c r="D1491" s="101"/>
      <c r="E1491" s="101"/>
      <c r="F1491" s="101"/>
      <c r="G1491" s="101"/>
      <c r="H1491" s="101"/>
      <c r="I1491" s="101"/>
      <c r="J1491" s="101"/>
      <c r="S1491" s="101"/>
      <c r="T1491" s="241"/>
      <c r="U1491" s="241"/>
      <c r="V1491" s="241"/>
      <c r="W1491" s="241"/>
      <c r="X1491" s="241"/>
      <c r="Y1491" s="241"/>
      <c r="Z1491" s="241"/>
    </row>
    <row r="1492" spans="3:26" ht="16.5">
      <c r="C1492" s="101"/>
      <c r="D1492" s="101"/>
      <c r="E1492" s="101"/>
      <c r="F1492" s="101"/>
      <c r="G1492" s="101"/>
      <c r="H1492" s="101"/>
      <c r="I1492" s="101"/>
      <c r="J1492" s="101"/>
      <c r="S1492" s="101"/>
      <c r="T1492" s="241"/>
      <c r="U1492" s="241"/>
      <c r="V1492" s="241"/>
      <c r="W1492" s="241"/>
      <c r="X1492" s="241"/>
      <c r="Y1492" s="241"/>
      <c r="Z1492" s="241"/>
    </row>
    <row r="1493" spans="3:26" ht="16.5">
      <c r="C1493" s="101"/>
      <c r="D1493" s="101"/>
      <c r="E1493" s="101"/>
      <c r="F1493" s="101"/>
      <c r="G1493" s="101"/>
      <c r="H1493" s="101"/>
      <c r="I1493" s="101"/>
      <c r="J1493" s="101"/>
      <c r="S1493" s="101"/>
      <c r="T1493" s="241"/>
      <c r="U1493" s="241"/>
      <c r="V1493" s="241"/>
      <c r="W1493" s="241"/>
      <c r="X1493" s="241"/>
      <c r="Y1493" s="241"/>
      <c r="Z1493" s="241"/>
    </row>
    <row r="1494" spans="3:26" ht="16.5">
      <c r="C1494" s="101"/>
      <c r="D1494" s="101"/>
      <c r="E1494" s="101"/>
      <c r="F1494" s="101"/>
      <c r="G1494" s="101"/>
      <c r="H1494" s="101"/>
      <c r="I1494" s="101"/>
      <c r="J1494" s="101"/>
      <c r="S1494" s="101"/>
      <c r="T1494" s="241"/>
      <c r="U1494" s="241"/>
      <c r="V1494" s="241"/>
      <c r="W1494" s="241"/>
      <c r="X1494" s="241"/>
      <c r="Y1494" s="241"/>
      <c r="Z1494" s="241"/>
    </row>
    <row r="1495" spans="3:26" ht="16.5">
      <c r="C1495" s="101"/>
      <c r="D1495" s="101"/>
      <c r="E1495" s="101"/>
      <c r="F1495" s="101"/>
      <c r="G1495" s="101"/>
      <c r="H1495" s="101"/>
      <c r="I1495" s="101"/>
      <c r="J1495" s="101"/>
      <c r="S1495" s="101"/>
      <c r="T1495" s="241"/>
      <c r="U1495" s="241"/>
      <c r="V1495" s="241"/>
      <c r="W1495" s="241"/>
      <c r="X1495" s="241"/>
      <c r="Y1495" s="241"/>
      <c r="Z1495" s="241"/>
    </row>
    <row r="1496" spans="3:26" ht="16.5">
      <c r="C1496" s="101"/>
      <c r="D1496" s="101"/>
      <c r="E1496" s="101"/>
      <c r="F1496" s="101"/>
      <c r="G1496" s="101"/>
      <c r="H1496" s="101"/>
      <c r="I1496" s="101"/>
      <c r="J1496" s="101"/>
      <c r="S1496" s="101"/>
      <c r="T1496" s="241"/>
      <c r="U1496" s="241"/>
      <c r="V1496" s="241"/>
      <c r="W1496" s="241"/>
      <c r="X1496" s="241"/>
      <c r="Y1496" s="241"/>
      <c r="Z1496" s="241"/>
    </row>
    <row r="1497" spans="3:26" ht="16.5">
      <c r="C1497" s="101"/>
      <c r="D1497" s="101"/>
      <c r="E1497" s="101"/>
      <c r="F1497" s="101"/>
      <c r="G1497" s="101"/>
      <c r="H1497" s="101"/>
      <c r="I1497" s="101"/>
      <c r="J1497" s="101"/>
      <c r="S1497" s="101"/>
      <c r="T1497" s="241"/>
      <c r="U1497" s="241"/>
      <c r="V1497" s="241"/>
      <c r="W1497" s="241"/>
      <c r="X1497" s="241"/>
      <c r="Y1497" s="241"/>
      <c r="Z1497" s="241"/>
    </row>
    <row r="1498" spans="3:26" ht="16.5">
      <c r="C1498" s="101"/>
      <c r="D1498" s="101"/>
      <c r="E1498" s="101"/>
      <c r="F1498" s="101"/>
      <c r="G1498" s="101"/>
      <c r="H1498" s="101"/>
      <c r="I1498" s="101"/>
      <c r="J1498" s="101"/>
      <c r="S1498" s="101"/>
      <c r="T1498" s="241"/>
      <c r="U1498" s="241"/>
      <c r="V1498" s="241"/>
      <c r="W1498" s="241"/>
      <c r="X1498" s="241"/>
      <c r="Y1498" s="241"/>
      <c r="Z1498" s="241"/>
    </row>
    <row r="1499" spans="3:26" ht="16.5">
      <c r="C1499" s="101"/>
      <c r="D1499" s="101"/>
      <c r="E1499" s="101"/>
      <c r="F1499" s="101"/>
      <c r="G1499" s="101"/>
      <c r="H1499" s="101"/>
      <c r="I1499" s="101"/>
      <c r="J1499" s="101"/>
      <c r="S1499" s="101"/>
      <c r="T1499" s="241"/>
      <c r="U1499" s="241"/>
      <c r="V1499" s="241"/>
      <c r="W1499" s="241"/>
      <c r="X1499" s="241"/>
      <c r="Y1499" s="241"/>
      <c r="Z1499" s="241"/>
    </row>
    <row r="1500" spans="3:26" ht="16.5">
      <c r="C1500" s="101"/>
      <c r="D1500" s="101"/>
      <c r="E1500" s="101"/>
      <c r="F1500" s="101"/>
      <c r="G1500" s="101"/>
      <c r="H1500" s="101"/>
      <c r="I1500" s="101"/>
      <c r="J1500" s="101"/>
      <c r="S1500" s="101"/>
      <c r="T1500" s="241"/>
      <c r="U1500" s="241"/>
      <c r="V1500" s="241"/>
      <c r="W1500" s="241"/>
      <c r="X1500" s="241"/>
      <c r="Y1500" s="241"/>
      <c r="Z1500" s="241"/>
    </row>
    <row r="1501" spans="3:26" ht="16.5">
      <c r="C1501" s="101"/>
      <c r="D1501" s="101"/>
      <c r="E1501" s="101"/>
      <c r="F1501" s="101"/>
      <c r="G1501" s="101"/>
      <c r="H1501" s="101"/>
      <c r="I1501" s="101"/>
      <c r="J1501" s="101"/>
      <c r="S1501" s="101"/>
      <c r="T1501" s="241"/>
      <c r="U1501" s="241"/>
      <c r="V1501" s="241"/>
      <c r="W1501" s="241"/>
      <c r="X1501" s="241"/>
      <c r="Y1501" s="241"/>
      <c r="Z1501" s="241"/>
    </row>
    <row r="1502" spans="3:26" ht="16.5">
      <c r="C1502" s="101"/>
      <c r="D1502" s="101"/>
      <c r="E1502" s="101"/>
      <c r="F1502" s="101"/>
      <c r="G1502" s="101"/>
      <c r="H1502" s="101"/>
      <c r="I1502" s="101"/>
      <c r="J1502" s="101"/>
      <c r="S1502" s="101"/>
      <c r="T1502" s="241"/>
      <c r="U1502" s="241"/>
      <c r="V1502" s="241"/>
      <c r="W1502" s="241"/>
      <c r="X1502" s="241"/>
      <c r="Y1502" s="241"/>
      <c r="Z1502" s="241"/>
    </row>
    <row r="1503" spans="3:26" ht="16.5">
      <c r="C1503" s="101"/>
      <c r="D1503" s="101"/>
      <c r="E1503" s="101"/>
      <c r="F1503" s="101"/>
      <c r="G1503" s="101"/>
      <c r="H1503" s="101"/>
      <c r="I1503" s="101"/>
      <c r="J1503" s="101"/>
      <c r="S1503" s="101"/>
      <c r="T1503" s="241"/>
      <c r="U1503" s="241"/>
      <c r="V1503" s="241"/>
      <c r="W1503" s="241"/>
      <c r="X1503" s="241"/>
      <c r="Y1503" s="241"/>
      <c r="Z1503" s="241"/>
    </row>
    <row r="1504" spans="3:26" ht="16.5">
      <c r="C1504" s="101"/>
      <c r="D1504" s="101"/>
      <c r="E1504" s="101"/>
      <c r="F1504" s="101"/>
      <c r="G1504" s="101"/>
      <c r="H1504" s="101"/>
      <c r="I1504" s="101"/>
      <c r="J1504" s="101"/>
      <c r="S1504" s="101"/>
      <c r="T1504" s="241"/>
      <c r="U1504" s="241"/>
      <c r="V1504" s="241"/>
      <c r="W1504" s="241"/>
      <c r="X1504" s="241"/>
      <c r="Y1504" s="241"/>
      <c r="Z1504" s="241"/>
    </row>
    <row r="1505" spans="3:26" ht="16.5">
      <c r="C1505" s="101"/>
      <c r="D1505" s="101"/>
      <c r="E1505" s="101"/>
      <c r="F1505" s="101"/>
      <c r="G1505" s="101"/>
      <c r="H1505" s="101"/>
      <c r="I1505" s="101"/>
      <c r="J1505" s="101"/>
      <c r="S1505" s="101"/>
      <c r="T1505" s="241"/>
      <c r="U1505" s="241"/>
      <c r="V1505" s="241"/>
      <c r="W1505" s="241"/>
      <c r="X1505" s="241"/>
      <c r="Y1505" s="241"/>
      <c r="Z1505" s="241"/>
    </row>
    <row r="1506" spans="3:26" ht="16.5">
      <c r="C1506" s="101"/>
      <c r="D1506" s="101"/>
      <c r="E1506" s="101"/>
      <c r="F1506" s="101"/>
      <c r="G1506" s="101"/>
      <c r="H1506" s="101"/>
      <c r="I1506" s="101"/>
      <c r="J1506" s="101"/>
      <c r="S1506" s="101"/>
      <c r="T1506" s="241"/>
      <c r="U1506" s="241"/>
      <c r="V1506" s="241"/>
      <c r="W1506" s="241"/>
      <c r="X1506" s="241"/>
      <c r="Y1506" s="241"/>
      <c r="Z1506" s="241"/>
    </row>
    <row r="1507" spans="3:26" ht="16.5">
      <c r="C1507" s="101"/>
      <c r="D1507" s="101"/>
      <c r="E1507" s="101"/>
      <c r="F1507" s="101"/>
      <c r="G1507" s="101"/>
      <c r="H1507" s="101"/>
      <c r="I1507" s="101"/>
      <c r="J1507" s="101"/>
      <c r="S1507" s="101"/>
      <c r="T1507" s="241"/>
      <c r="U1507" s="241"/>
      <c r="V1507" s="241"/>
      <c r="W1507" s="241"/>
      <c r="X1507" s="241"/>
      <c r="Y1507" s="241"/>
      <c r="Z1507" s="241"/>
    </row>
    <row r="1508" spans="3:26" ht="16.5">
      <c r="C1508" s="101"/>
      <c r="D1508" s="101"/>
      <c r="E1508" s="101"/>
      <c r="F1508" s="101"/>
      <c r="G1508" s="101"/>
      <c r="H1508" s="101"/>
      <c r="I1508" s="101"/>
      <c r="J1508" s="101"/>
      <c r="S1508" s="101"/>
      <c r="T1508" s="241"/>
      <c r="U1508" s="241"/>
      <c r="V1508" s="241"/>
      <c r="W1508" s="241"/>
      <c r="X1508" s="241"/>
      <c r="Y1508" s="241"/>
      <c r="Z1508" s="241"/>
    </row>
    <row r="1509" spans="3:26" ht="16.5">
      <c r="C1509" s="101"/>
      <c r="D1509" s="101"/>
      <c r="E1509" s="101"/>
      <c r="F1509" s="101"/>
      <c r="G1509" s="101"/>
      <c r="H1509" s="101"/>
      <c r="I1509" s="101"/>
      <c r="J1509" s="101"/>
      <c r="S1509" s="101"/>
      <c r="T1509" s="241"/>
      <c r="U1509" s="241"/>
      <c r="V1509" s="241"/>
      <c r="W1509" s="241"/>
      <c r="X1509" s="241"/>
      <c r="Y1509" s="241"/>
      <c r="Z1509" s="241"/>
    </row>
    <row r="1510" spans="3:26" ht="16.5">
      <c r="C1510" s="101"/>
      <c r="D1510" s="101"/>
      <c r="E1510" s="101"/>
      <c r="F1510" s="101"/>
      <c r="G1510" s="101"/>
      <c r="H1510" s="101"/>
      <c r="I1510" s="101"/>
      <c r="J1510" s="101"/>
      <c r="S1510" s="101"/>
      <c r="T1510" s="241"/>
      <c r="U1510" s="241"/>
      <c r="V1510" s="241"/>
      <c r="W1510" s="241"/>
      <c r="X1510" s="241"/>
      <c r="Y1510" s="241"/>
      <c r="Z1510" s="241"/>
    </row>
    <row r="1511" spans="3:26" ht="16.5">
      <c r="C1511" s="101"/>
      <c r="D1511" s="101"/>
      <c r="E1511" s="101"/>
      <c r="F1511" s="101"/>
      <c r="G1511" s="101"/>
      <c r="H1511" s="101"/>
      <c r="I1511" s="101"/>
      <c r="J1511" s="101"/>
      <c r="S1511" s="101"/>
      <c r="T1511" s="241"/>
      <c r="U1511" s="241"/>
      <c r="V1511" s="241"/>
      <c r="W1511" s="241"/>
      <c r="X1511" s="241"/>
      <c r="Y1511" s="241"/>
      <c r="Z1511" s="241"/>
    </row>
    <row r="1512" spans="3:26" ht="16.5">
      <c r="C1512" s="101"/>
      <c r="D1512" s="101"/>
      <c r="E1512" s="101"/>
      <c r="F1512" s="101"/>
      <c r="G1512" s="101"/>
      <c r="H1512" s="101"/>
      <c r="I1512" s="101"/>
      <c r="J1512" s="101"/>
      <c r="S1512" s="101"/>
      <c r="T1512" s="241"/>
      <c r="U1512" s="241"/>
      <c r="V1512" s="241"/>
      <c r="W1512" s="241"/>
      <c r="X1512" s="241"/>
      <c r="Y1512" s="241"/>
      <c r="Z1512" s="241"/>
    </row>
    <row r="1513" spans="3:26" ht="16.5">
      <c r="C1513" s="101"/>
      <c r="D1513" s="101"/>
      <c r="E1513" s="101"/>
      <c r="F1513" s="101"/>
      <c r="G1513" s="101"/>
      <c r="H1513" s="101"/>
      <c r="I1513" s="101"/>
      <c r="J1513" s="101"/>
      <c r="S1513" s="101"/>
      <c r="T1513" s="241"/>
      <c r="U1513" s="241"/>
      <c r="V1513" s="241"/>
      <c r="W1513" s="241"/>
      <c r="X1513" s="241"/>
      <c r="Y1513" s="241"/>
      <c r="Z1513" s="241"/>
    </row>
    <row r="1514" spans="3:26" ht="16.5">
      <c r="C1514" s="101"/>
      <c r="D1514" s="101"/>
      <c r="E1514" s="101"/>
      <c r="F1514" s="101"/>
      <c r="G1514" s="101"/>
      <c r="H1514" s="101"/>
      <c r="I1514" s="101"/>
      <c r="J1514" s="101"/>
      <c r="S1514" s="101"/>
      <c r="T1514" s="241"/>
      <c r="U1514" s="241"/>
      <c r="V1514" s="241"/>
      <c r="W1514" s="241"/>
      <c r="X1514" s="241"/>
      <c r="Y1514" s="241"/>
      <c r="Z1514" s="241"/>
    </row>
    <row r="1515" spans="3:26" ht="16.5">
      <c r="C1515" s="101"/>
      <c r="D1515" s="101"/>
      <c r="E1515" s="101"/>
      <c r="F1515" s="101"/>
      <c r="G1515" s="101"/>
      <c r="H1515" s="101"/>
      <c r="I1515" s="101"/>
      <c r="J1515" s="101"/>
      <c r="S1515" s="101"/>
      <c r="T1515" s="241"/>
      <c r="U1515" s="241"/>
      <c r="V1515" s="241"/>
      <c r="W1515" s="241"/>
      <c r="X1515" s="241"/>
      <c r="Y1515" s="241"/>
      <c r="Z1515" s="241"/>
    </row>
    <row r="1516" spans="3:26" ht="16.5">
      <c r="C1516" s="101"/>
      <c r="D1516" s="101"/>
      <c r="E1516" s="101"/>
      <c r="F1516" s="101"/>
      <c r="G1516" s="101"/>
      <c r="H1516" s="101"/>
      <c r="I1516" s="101"/>
      <c r="J1516" s="101"/>
      <c r="S1516" s="101"/>
      <c r="T1516" s="241"/>
      <c r="U1516" s="241"/>
      <c r="V1516" s="241"/>
      <c r="W1516" s="241"/>
      <c r="X1516" s="241"/>
      <c r="Y1516" s="241"/>
      <c r="Z1516" s="241"/>
    </row>
    <row r="1517" spans="3:26" ht="16.5">
      <c r="C1517" s="101"/>
      <c r="D1517" s="101"/>
      <c r="E1517" s="101"/>
      <c r="F1517" s="101"/>
      <c r="G1517" s="101"/>
      <c r="H1517" s="101"/>
      <c r="I1517" s="101"/>
      <c r="J1517" s="101"/>
      <c r="S1517" s="101"/>
      <c r="T1517" s="241"/>
      <c r="U1517" s="241"/>
      <c r="V1517" s="241"/>
      <c r="W1517" s="241"/>
      <c r="X1517" s="241"/>
      <c r="Y1517" s="241"/>
      <c r="Z1517" s="241"/>
    </row>
    <row r="1518" spans="3:26" ht="16.5">
      <c r="C1518" s="101"/>
      <c r="D1518" s="101"/>
      <c r="E1518" s="101"/>
      <c r="F1518" s="101"/>
      <c r="G1518" s="101"/>
      <c r="H1518" s="101"/>
      <c r="I1518" s="101"/>
      <c r="J1518" s="101"/>
      <c r="S1518" s="101"/>
      <c r="T1518" s="241"/>
      <c r="U1518" s="241"/>
      <c r="V1518" s="241"/>
      <c r="W1518" s="241"/>
      <c r="X1518" s="241"/>
      <c r="Y1518" s="241"/>
      <c r="Z1518" s="241"/>
    </row>
    <row r="1519" spans="3:26" ht="16.5">
      <c r="C1519" s="101"/>
      <c r="D1519" s="101"/>
      <c r="E1519" s="101"/>
      <c r="F1519" s="101"/>
      <c r="G1519" s="101"/>
      <c r="H1519" s="101"/>
      <c r="I1519" s="101"/>
      <c r="J1519" s="101"/>
      <c r="S1519" s="101"/>
      <c r="T1519" s="241"/>
      <c r="U1519" s="241"/>
      <c r="V1519" s="241"/>
      <c r="W1519" s="241"/>
      <c r="X1519" s="241"/>
      <c r="Y1519" s="241"/>
      <c r="Z1519" s="241"/>
    </row>
    <row r="1520" spans="3:26" ht="16.5">
      <c r="C1520" s="101"/>
      <c r="D1520" s="101"/>
      <c r="E1520" s="101"/>
      <c r="F1520" s="101"/>
      <c r="G1520" s="101"/>
      <c r="H1520" s="101"/>
      <c r="I1520" s="101"/>
      <c r="J1520" s="101"/>
      <c r="S1520" s="101"/>
      <c r="T1520" s="241"/>
      <c r="U1520" s="241"/>
      <c r="V1520" s="241"/>
      <c r="W1520" s="241"/>
      <c r="X1520" s="241"/>
      <c r="Y1520" s="241"/>
      <c r="Z1520" s="241"/>
    </row>
    <row r="1521" spans="3:26" ht="16.5">
      <c r="C1521" s="101"/>
      <c r="D1521" s="101"/>
      <c r="E1521" s="101"/>
      <c r="F1521" s="101"/>
      <c r="G1521" s="101"/>
      <c r="H1521" s="101"/>
      <c r="I1521" s="101"/>
      <c r="J1521" s="101"/>
      <c r="S1521" s="101"/>
      <c r="T1521" s="241"/>
      <c r="U1521" s="241"/>
      <c r="V1521" s="241"/>
      <c r="W1521" s="241"/>
      <c r="X1521" s="241"/>
      <c r="Y1521" s="241"/>
      <c r="Z1521" s="241"/>
    </row>
    <row r="1522" spans="3:26" ht="16.5">
      <c r="C1522" s="101"/>
      <c r="D1522" s="101"/>
      <c r="E1522" s="101"/>
      <c r="F1522" s="101"/>
      <c r="G1522" s="101"/>
      <c r="H1522" s="101"/>
      <c r="I1522" s="101"/>
      <c r="J1522" s="101"/>
      <c r="S1522" s="101"/>
      <c r="T1522" s="241"/>
      <c r="U1522" s="241"/>
      <c r="V1522" s="241"/>
      <c r="W1522" s="241"/>
      <c r="X1522" s="241"/>
      <c r="Y1522" s="241"/>
      <c r="Z1522" s="241"/>
    </row>
    <row r="1523" spans="3:26" ht="16.5">
      <c r="C1523" s="101"/>
      <c r="D1523" s="101"/>
      <c r="E1523" s="101"/>
      <c r="F1523" s="101"/>
      <c r="G1523" s="101"/>
      <c r="H1523" s="101"/>
      <c r="I1523" s="101"/>
      <c r="J1523" s="101"/>
      <c r="S1523" s="101"/>
      <c r="T1523" s="241"/>
      <c r="U1523" s="241"/>
      <c r="V1523" s="241"/>
      <c r="W1523" s="241"/>
      <c r="X1523" s="241"/>
      <c r="Y1523" s="241"/>
      <c r="Z1523" s="241"/>
    </row>
    <row r="1524" spans="3:26" ht="16.5">
      <c r="C1524" s="101"/>
      <c r="D1524" s="101"/>
      <c r="E1524" s="101"/>
      <c r="F1524" s="101"/>
      <c r="G1524" s="101"/>
      <c r="H1524" s="101"/>
      <c r="I1524" s="101"/>
      <c r="J1524" s="101"/>
      <c r="S1524" s="101"/>
      <c r="T1524" s="241"/>
      <c r="U1524" s="241"/>
      <c r="V1524" s="241"/>
      <c r="W1524" s="241"/>
      <c r="X1524" s="241"/>
      <c r="Y1524" s="241"/>
      <c r="Z1524" s="241"/>
    </row>
    <row r="1525" spans="3:26" ht="16.5">
      <c r="C1525" s="101"/>
      <c r="D1525" s="101"/>
      <c r="E1525" s="101"/>
      <c r="F1525" s="101"/>
      <c r="G1525" s="101"/>
      <c r="H1525" s="101"/>
      <c r="I1525" s="101"/>
      <c r="J1525" s="101"/>
      <c r="S1525" s="101"/>
      <c r="T1525" s="241"/>
      <c r="U1525" s="241"/>
      <c r="V1525" s="241"/>
      <c r="W1525" s="241"/>
      <c r="X1525" s="241"/>
      <c r="Y1525" s="241"/>
      <c r="Z1525" s="241"/>
    </row>
    <row r="1526" spans="3:26" ht="16.5">
      <c r="C1526" s="101"/>
      <c r="D1526" s="101"/>
      <c r="E1526" s="101"/>
      <c r="F1526" s="101"/>
      <c r="G1526" s="101"/>
      <c r="H1526" s="101"/>
      <c r="I1526" s="101"/>
      <c r="J1526" s="101"/>
      <c r="S1526" s="101"/>
      <c r="T1526" s="241"/>
      <c r="U1526" s="241"/>
      <c r="V1526" s="241"/>
      <c r="W1526" s="241"/>
      <c r="X1526" s="241"/>
      <c r="Y1526" s="241"/>
      <c r="Z1526" s="241"/>
    </row>
    <row r="1527" spans="3:26" ht="16.5">
      <c r="C1527" s="101"/>
      <c r="D1527" s="101"/>
      <c r="E1527" s="101"/>
      <c r="F1527" s="101"/>
      <c r="G1527" s="101"/>
      <c r="H1527" s="101"/>
      <c r="I1527" s="101"/>
      <c r="J1527" s="101"/>
      <c r="S1527" s="101"/>
      <c r="T1527" s="241"/>
      <c r="U1527" s="241"/>
      <c r="V1527" s="241"/>
      <c r="W1527" s="241"/>
      <c r="X1527" s="241"/>
      <c r="Y1527" s="241"/>
      <c r="Z1527" s="241"/>
    </row>
    <row r="1528" spans="3:26" ht="16.5">
      <c r="C1528" s="101"/>
      <c r="D1528" s="101"/>
      <c r="E1528" s="101"/>
      <c r="F1528" s="101"/>
      <c r="G1528" s="101"/>
      <c r="H1528" s="101"/>
      <c r="I1528" s="101"/>
      <c r="J1528" s="101"/>
      <c r="S1528" s="101"/>
      <c r="T1528" s="241"/>
      <c r="U1528" s="241"/>
      <c r="V1528" s="241"/>
      <c r="W1528" s="241"/>
      <c r="X1528" s="241"/>
      <c r="Y1528" s="241"/>
      <c r="Z1528" s="241"/>
    </row>
    <row r="1529" spans="3:26" ht="16.5">
      <c r="C1529" s="101"/>
      <c r="D1529" s="101"/>
      <c r="E1529" s="101"/>
      <c r="F1529" s="101"/>
      <c r="G1529" s="101"/>
      <c r="H1529" s="101"/>
      <c r="I1529" s="101"/>
      <c r="J1529" s="101"/>
      <c r="S1529" s="101"/>
      <c r="T1529" s="241"/>
      <c r="U1529" s="241"/>
      <c r="V1529" s="241"/>
      <c r="W1529" s="241"/>
      <c r="X1529" s="241"/>
      <c r="Y1529" s="241"/>
      <c r="Z1529" s="241"/>
    </row>
    <row r="1530" spans="3:26" ht="16.5">
      <c r="C1530" s="101"/>
      <c r="D1530" s="101"/>
      <c r="E1530" s="101"/>
      <c r="F1530" s="101"/>
      <c r="G1530" s="101"/>
      <c r="H1530" s="101"/>
      <c r="I1530" s="101"/>
      <c r="J1530" s="101"/>
      <c r="S1530" s="101"/>
      <c r="T1530" s="241"/>
      <c r="U1530" s="241"/>
      <c r="V1530" s="241"/>
      <c r="W1530" s="241"/>
      <c r="X1530" s="241"/>
      <c r="Y1530" s="241"/>
      <c r="Z1530" s="241"/>
    </row>
    <row r="1531" spans="3:26" ht="16.5">
      <c r="C1531" s="101"/>
      <c r="D1531" s="101"/>
      <c r="E1531" s="101"/>
      <c r="F1531" s="101"/>
      <c r="G1531" s="101"/>
      <c r="H1531" s="101"/>
      <c r="I1531" s="101"/>
      <c r="J1531" s="101"/>
      <c r="S1531" s="101"/>
      <c r="T1531" s="241"/>
      <c r="U1531" s="241"/>
      <c r="V1531" s="241"/>
      <c r="W1531" s="241"/>
      <c r="X1531" s="241"/>
      <c r="Y1531" s="241"/>
      <c r="Z1531" s="241"/>
    </row>
    <row r="1532" spans="3:26" ht="16.5">
      <c r="C1532" s="101"/>
      <c r="D1532" s="101"/>
      <c r="E1532" s="101"/>
      <c r="F1532" s="101"/>
      <c r="G1532" s="101"/>
      <c r="H1532" s="101"/>
      <c r="I1532" s="101"/>
      <c r="J1532" s="101"/>
      <c r="S1532" s="101"/>
      <c r="T1532" s="241"/>
      <c r="U1532" s="241"/>
      <c r="V1532" s="241"/>
      <c r="W1532" s="241"/>
      <c r="X1532" s="241"/>
      <c r="Y1532" s="241"/>
      <c r="Z1532" s="241"/>
    </row>
    <row r="1533" spans="3:26" ht="16.5">
      <c r="C1533" s="101"/>
      <c r="D1533" s="101"/>
      <c r="E1533" s="101"/>
      <c r="F1533" s="101"/>
      <c r="G1533" s="101"/>
      <c r="H1533" s="101"/>
      <c r="I1533" s="101"/>
      <c r="J1533" s="101"/>
      <c r="S1533" s="101"/>
      <c r="T1533" s="241"/>
      <c r="U1533" s="241"/>
      <c r="V1533" s="241"/>
      <c r="W1533" s="241"/>
      <c r="X1533" s="241"/>
      <c r="Y1533" s="241"/>
      <c r="Z1533" s="241"/>
    </row>
    <row r="1534" spans="3:26" ht="16.5">
      <c r="C1534" s="101"/>
      <c r="D1534" s="101"/>
      <c r="E1534" s="101"/>
      <c r="F1534" s="101"/>
      <c r="G1534" s="101"/>
      <c r="H1534" s="101"/>
      <c r="I1534" s="101"/>
      <c r="J1534" s="101"/>
      <c r="S1534" s="101"/>
      <c r="T1534" s="241"/>
      <c r="U1534" s="241"/>
      <c r="V1534" s="241"/>
      <c r="W1534" s="241"/>
      <c r="X1534" s="241"/>
      <c r="Y1534" s="241"/>
      <c r="Z1534" s="241"/>
    </row>
    <row r="1535" spans="3:26" ht="16.5">
      <c r="C1535" s="101"/>
      <c r="D1535" s="101"/>
      <c r="E1535" s="101"/>
      <c r="F1535" s="101"/>
      <c r="G1535" s="101"/>
      <c r="H1535" s="101"/>
      <c r="I1535" s="101"/>
      <c r="J1535" s="101"/>
      <c r="S1535" s="101"/>
      <c r="T1535" s="241"/>
      <c r="U1535" s="241"/>
      <c r="V1535" s="241"/>
      <c r="W1535" s="241"/>
      <c r="X1535" s="241"/>
      <c r="Y1535" s="241"/>
      <c r="Z1535" s="241"/>
    </row>
    <row r="1536" spans="3:26" ht="16.5">
      <c r="C1536" s="101"/>
      <c r="D1536" s="101"/>
      <c r="E1536" s="101"/>
      <c r="F1536" s="101"/>
      <c r="G1536" s="101"/>
      <c r="H1536" s="101"/>
      <c r="I1536" s="101"/>
      <c r="J1536" s="101"/>
      <c r="S1536" s="101"/>
      <c r="T1536" s="241"/>
      <c r="U1536" s="241"/>
      <c r="V1536" s="241"/>
      <c r="W1536" s="241"/>
      <c r="X1536" s="241"/>
      <c r="Y1536" s="241"/>
      <c r="Z1536" s="241"/>
    </row>
    <row r="1537" spans="3:26" ht="16.5">
      <c r="C1537" s="101"/>
      <c r="D1537" s="101"/>
      <c r="E1537" s="101"/>
      <c r="F1537" s="101"/>
      <c r="G1537" s="101"/>
      <c r="H1537" s="101"/>
      <c r="I1537" s="101"/>
      <c r="J1537" s="101"/>
      <c r="S1537" s="101"/>
      <c r="T1537" s="241"/>
      <c r="U1537" s="241"/>
      <c r="V1537" s="241"/>
      <c r="W1537" s="241"/>
      <c r="X1537" s="241"/>
      <c r="Y1537" s="241"/>
      <c r="Z1537" s="241"/>
    </row>
    <row r="1538" spans="3:26" ht="16.5">
      <c r="C1538" s="101"/>
      <c r="D1538" s="101"/>
      <c r="E1538" s="101"/>
      <c r="F1538" s="101"/>
      <c r="G1538" s="101"/>
      <c r="H1538" s="101"/>
      <c r="I1538" s="101"/>
      <c r="J1538" s="101"/>
      <c r="S1538" s="101"/>
      <c r="T1538" s="241"/>
      <c r="U1538" s="241"/>
      <c r="V1538" s="241"/>
      <c r="W1538" s="241"/>
      <c r="X1538" s="241"/>
      <c r="Y1538" s="241"/>
      <c r="Z1538" s="241"/>
    </row>
    <row r="1539" spans="3:26" ht="16.5">
      <c r="C1539" s="101"/>
      <c r="D1539" s="101"/>
      <c r="E1539" s="101"/>
      <c r="F1539" s="101"/>
      <c r="G1539" s="101"/>
      <c r="H1539" s="101"/>
      <c r="I1539" s="101"/>
      <c r="J1539" s="101"/>
      <c r="S1539" s="101"/>
      <c r="T1539" s="241"/>
      <c r="U1539" s="241"/>
      <c r="V1539" s="241"/>
      <c r="W1539" s="241"/>
      <c r="X1539" s="241"/>
      <c r="Y1539" s="241"/>
      <c r="Z1539" s="241"/>
    </row>
    <row r="1540" spans="3:26" ht="16.5">
      <c r="C1540" s="101"/>
      <c r="D1540" s="101"/>
      <c r="E1540" s="101"/>
      <c r="F1540" s="101"/>
      <c r="G1540" s="101"/>
      <c r="H1540" s="101"/>
      <c r="I1540" s="101"/>
      <c r="J1540" s="101"/>
      <c r="S1540" s="101"/>
      <c r="T1540" s="241"/>
      <c r="U1540" s="241"/>
      <c r="V1540" s="241"/>
      <c r="W1540" s="241"/>
      <c r="X1540" s="241"/>
      <c r="Y1540" s="241"/>
      <c r="Z1540" s="241"/>
    </row>
    <row r="1541" spans="3:26" ht="16.5">
      <c r="C1541" s="101"/>
      <c r="D1541" s="101"/>
      <c r="E1541" s="101"/>
      <c r="F1541" s="101"/>
      <c r="G1541" s="101"/>
      <c r="H1541" s="101"/>
      <c r="I1541" s="101"/>
      <c r="J1541" s="101"/>
      <c r="S1541" s="101"/>
      <c r="T1541" s="241"/>
      <c r="U1541" s="241"/>
      <c r="V1541" s="241"/>
      <c r="W1541" s="241"/>
      <c r="X1541" s="241"/>
      <c r="Y1541" s="241"/>
      <c r="Z1541" s="241"/>
    </row>
    <row r="1542" spans="3:26" ht="16.5">
      <c r="C1542" s="101"/>
      <c r="D1542" s="101"/>
      <c r="E1542" s="101"/>
      <c r="F1542" s="101"/>
      <c r="G1542" s="101"/>
      <c r="H1542" s="101"/>
      <c r="I1542" s="101"/>
      <c r="J1542" s="101"/>
      <c r="S1542" s="101"/>
      <c r="T1542" s="241"/>
      <c r="U1542" s="241"/>
      <c r="V1542" s="241"/>
      <c r="W1542" s="241"/>
      <c r="X1542" s="241"/>
      <c r="Y1542" s="241"/>
      <c r="Z1542" s="241"/>
    </row>
    <row r="1543" spans="3:26" ht="16.5">
      <c r="C1543" s="101"/>
      <c r="D1543" s="101"/>
      <c r="E1543" s="101"/>
      <c r="F1543" s="101"/>
      <c r="G1543" s="101"/>
      <c r="H1543" s="101"/>
      <c r="I1543" s="101"/>
      <c r="J1543" s="101"/>
      <c r="S1543" s="101"/>
      <c r="T1543" s="241"/>
      <c r="U1543" s="241"/>
      <c r="V1543" s="241"/>
      <c r="W1543" s="241"/>
      <c r="X1543" s="241"/>
      <c r="Y1543" s="241"/>
      <c r="Z1543" s="241"/>
    </row>
    <row r="1544" spans="3:26" ht="16.5">
      <c r="C1544" s="101"/>
      <c r="D1544" s="101"/>
      <c r="E1544" s="101"/>
      <c r="F1544" s="101"/>
      <c r="G1544" s="101"/>
      <c r="H1544" s="101"/>
      <c r="I1544" s="101"/>
      <c r="J1544" s="101"/>
      <c r="S1544" s="101"/>
      <c r="T1544" s="241"/>
      <c r="U1544" s="241"/>
      <c r="V1544" s="241"/>
      <c r="W1544" s="241"/>
      <c r="X1544" s="241"/>
      <c r="Y1544" s="241"/>
      <c r="Z1544" s="241"/>
    </row>
    <row r="1545" spans="3:26" ht="16.5">
      <c r="C1545" s="101"/>
      <c r="D1545" s="101"/>
      <c r="E1545" s="101"/>
      <c r="F1545" s="101"/>
      <c r="G1545" s="101"/>
      <c r="H1545" s="101"/>
      <c r="I1545" s="101"/>
      <c r="J1545" s="101"/>
      <c r="S1545" s="101"/>
      <c r="T1545" s="241"/>
      <c r="U1545" s="241"/>
      <c r="V1545" s="241"/>
      <c r="W1545" s="241"/>
      <c r="X1545" s="241"/>
      <c r="Y1545" s="241"/>
      <c r="Z1545" s="241"/>
    </row>
    <row r="1546" spans="3:26" ht="16.5">
      <c r="C1546" s="101"/>
      <c r="D1546" s="101"/>
      <c r="E1546" s="101"/>
      <c r="F1546" s="101"/>
      <c r="G1546" s="101"/>
      <c r="H1546" s="101"/>
      <c r="I1546" s="101"/>
      <c r="J1546" s="101"/>
      <c r="S1546" s="101"/>
      <c r="T1546" s="241"/>
      <c r="U1546" s="241"/>
      <c r="V1546" s="241"/>
      <c r="W1546" s="241"/>
      <c r="X1546" s="241"/>
      <c r="Y1546" s="241"/>
      <c r="Z1546" s="241"/>
    </row>
    <row r="1547" spans="3:26" ht="16.5">
      <c r="C1547" s="101"/>
      <c r="D1547" s="101"/>
      <c r="E1547" s="101"/>
      <c r="F1547" s="101"/>
      <c r="G1547" s="101"/>
      <c r="H1547" s="101"/>
      <c r="I1547" s="101"/>
      <c r="J1547" s="101"/>
      <c r="S1547" s="101"/>
      <c r="T1547" s="241"/>
      <c r="U1547" s="241"/>
      <c r="V1547" s="241"/>
      <c r="W1547" s="241"/>
      <c r="X1547" s="241"/>
      <c r="Y1547" s="241"/>
      <c r="Z1547" s="241"/>
    </row>
    <row r="1548" spans="3:26" ht="16.5">
      <c r="C1548" s="101"/>
      <c r="D1548" s="101"/>
      <c r="E1548" s="101"/>
      <c r="F1548" s="101"/>
      <c r="G1548" s="101"/>
      <c r="H1548" s="101"/>
      <c r="I1548" s="101"/>
      <c r="J1548" s="101"/>
      <c r="S1548" s="101"/>
      <c r="T1548" s="241"/>
      <c r="U1548" s="241"/>
      <c r="V1548" s="241"/>
      <c r="W1548" s="241"/>
      <c r="X1548" s="241"/>
      <c r="Y1548" s="241"/>
      <c r="Z1548" s="241"/>
    </row>
    <row r="1549" spans="3:26" ht="16.5">
      <c r="C1549" s="101"/>
      <c r="D1549" s="101"/>
      <c r="E1549" s="101"/>
      <c r="F1549" s="101"/>
      <c r="G1549" s="101"/>
      <c r="H1549" s="101"/>
      <c r="I1549" s="101"/>
      <c r="J1549" s="101"/>
      <c r="S1549" s="101"/>
      <c r="T1549" s="241"/>
      <c r="U1549" s="241"/>
      <c r="V1549" s="241"/>
      <c r="W1549" s="241"/>
      <c r="X1549" s="241"/>
      <c r="Y1549" s="241"/>
      <c r="Z1549" s="241"/>
    </row>
    <row r="1550" spans="3:26" ht="16.5">
      <c r="C1550" s="101"/>
      <c r="D1550" s="101"/>
      <c r="E1550" s="101"/>
      <c r="F1550" s="101"/>
      <c r="G1550" s="101"/>
      <c r="H1550" s="101"/>
      <c r="I1550" s="101"/>
      <c r="J1550" s="101"/>
      <c r="S1550" s="101"/>
      <c r="T1550" s="241"/>
      <c r="U1550" s="241"/>
      <c r="V1550" s="241"/>
      <c r="W1550" s="241"/>
      <c r="X1550" s="241"/>
      <c r="Y1550" s="241"/>
      <c r="Z1550" s="241"/>
    </row>
    <row r="1551" spans="3:26" ht="16.5">
      <c r="C1551" s="101"/>
      <c r="D1551" s="101"/>
      <c r="E1551" s="101"/>
      <c r="F1551" s="101"/>
      <c r="G1551" s="101"/>
      <c r="H1551" s="101"/>
      <c r="I1551" s="101"/>
      <c r="J1551" s="101"/>
      <c r="S1551" s="101"/>
      <c r="T1551" s="241"/>
      <c r="U1551" s="241"/>
      <c r="V1551" s="241"/>
      <c r="W1551" s="241"/>
      <c r="X1551" s="241"/>
      <c r="Y1551" s="241"/>
      <c r="Z1551" s="241"/>
    </row>
    <row r="1552" spans="3:26" ht="16.5">
      <c r="C1552" s="101"/>
      <c r="D1552" s="101"/>
      <c r="E1552" s="101"/>
      <c r="F1552" s="101"/>
      <c r="G1552" s="101"/>
      <c r="H1552" s="101"/>
      <c r="I1552" s="101"/>
      <c r="J1552" s="101"/>
      <c r="S1552" s="101"/>
      <c r="T1552" s="241"/>
      <c r="U1552" s="241"/>
      <c r="V1552" s="241"/>
      <c r="W1552" s="241"/>
      <c r="X1552" s="241"/>
      <c r="Y1552" s="241"/>
      <c r="Z1552" s="241"/>
    </row>
    <row r="1553" spans="3:26" ht="16.5">
      <c r="C1553" s="101"/>
      <c r="D1553" s="101"/>
      <c r="E1553" s="101"/>
      <c r="F1553" s="101"/>
      <c r="G1553" s="101"/>
      <c r="H1553" s="101"/>
      <c r="I1553" s="101"/>
      <c r="J1553" s="101"/>
      <c r="S1553" s="101"/>
      <c r="T1553" s="241"/>
      <c r="U1553" s="241"/>
      <c r="V1553" s="241"/>
      <c r="W1553" s="241"/>
      <c r="X1553" s="241"/>
      <c r="Y1553" s="241"/>
      <c r="Z1553" s="241"/>
    </row>
    <row r="1554" spans="3:26" ht="16.5">
      <c r="C1554" s="101"/>
      <c r="D1554" s="101"/>
      <c r="E1554" s="101"/>
      <c r="F1554" s="101"/>
      <c r="G1554" s="101"/>
      <c r="H1554" s="101"/>
      <c r="I1554" s="101"/>
      <c r="J1554" s="101"/>
      <c r="S1554" s="101"/>
      <c r="T1554" s="241"/>
      <c r="U1554" s="241"/>
      <c r="V1554" s="241"/>
      <c r="W1554" s="241"/>
      <c r="X1554" s="241"/>
      <c r="Y1554" s="241"/>
      <c r="Z1554" s="241"/>
    </row>
    <row r="1555" spans="3:26" ht="16.5">
      <c r="C1555" s="101"/>
      <c r="D1555" s="101"/>
      <c r="E1555" s="101"/>
      <c r="F1555" s="101"/>
      <c r="G1555" s="101"/>
      <c r="H1555" s="101"/>
      <c r="I1555" s="101"/>
      <c r="J1555" s="101"/>
      <c r="S1555" s="101"/>
      <c r="T1555" s="241"/>
      <c r="U1555" s="241"/>
      <c r="V1555" s="241"/>
      <c r="W1555" s="241"/>
      <c r="X1555" s="241"/>
      <c r="Y1555" s="241"/>
      <c r="Z1555" s="241"/>
    </row>
    <row r="1556" spans="3:26" ht="16.5">
      <c r="C1556" s="101"/>
      <c r="D1556" s="101"/>
      <c r="E1556" s="101"/>
      <c r="F1556" s="101"/>
      <c r="G1556" s="101"/>
      <c r="H1556" s="101"/>
      <c r="I1556" s="101"/>
      <c r="J1556" s="101"/>
      <c r="S1556" s="101"/>
      <c r="T1556" s="241"/>
      <c r="U1556" s="241"/>
      <c r="V1556" s="241"/>
      <c r="W1556" s="241"/>
      <c r="X1556" s="241"/>
      <c r="Y1556" s="241"/>
      <c r="Z1556" s="241"/>
    </row>
    <row r="1557" spans="3:26" ht="16.5">
      <c r="C1557" s="101"/>
      <c r="D1557" s="101"/>
      <c r="E1557" s="101"/>
      <c r="F1557" s="101"/>
      <c r="G1557" s="101"/>
      <c r="H1557" s="101"/>
      <c r="I1557" s="101"/>
      <c r="J1557" s="101"/>
      <c r="S1557" s="101"/>
      <c r="T1557" s="241"/>
      <c r="U1557" s="241"/>
      <c r="V1557" s="241"/>
      <c r="W1557" s="241"/>
      <c r="X1557" s="241"/>
      <c r="Y1557" s="241"/>
      <c r="Z1557" s="241"/>
    </row>
    <row r="1558" spans="3:26" ht="16.5">
      <c r="C1558" s="101"/>
      <c r="D1558" s="101"/>
      <c r="E1558" s="101"/>
      <c r="F1558" s="101"/>
      <c r="G1558" s="101"/>
      <c r="H1558" s="101"/>
      <c r="I1558" s="101"/>
      <c r="J1558" s="101"/>
      <c r="S1558" s="101"/>
      <c r="T1558" s="241"/>
      <c r="U1558" s="241"/>
      <c r="V1558" s="241"/>
      <c r="W1558" s="241"/>
      <c r="X1558" s="241"/>
      <c r="Y1558" s="241"/>
      <c r="Z1558" s="241"/>
    </row>
    <row r="1559" spans="3:26" ht="16.5">
      <c r="C1559" s="101"/>
      <c r="D1559" s="101"/>
      <c r="E1559" s="101"/>
      <c r="F1559" s="101"/>
      <c r="G1559" s="101"/>
      <c r="H1559" s="101"/>
      <c r="I1559" s="101"/>
      <c r="J1559" s="101"/>
      <c r="S1559" s="101"/>
      <c r="T1559" s="241"/>
      <c r="U1559" s="241"/>
      <c r="V1559" s="241"/>
      <c r="W1559" s="241"/>
      <c r="X1559" s="241"/>
      <c r="Y1559" s="241"/>
      <c r="Z1559" s="241"/>
    </row>
    <row r="1560" spans="3:26" ht="16.5">
      <c r="C1560" s="101"/>
      <c r="D1560" s="101"/>
      <c r="E1560" s="101"/>
      <c r="F1560" s="101"/>
      <c r="G1560" s="101"/>
      <c r="H1560" s="101"/>
      <c r="I1560" s="101"/>
      <c r="J1560" s="101"/>
      <c r="S1560" s="101"/>
      <c r="T1560" s="241"/>
      <c r="U1560" s="241"/>
      <c r="V1560" s="241"/>
      <c r="W1560" s="241"/>
      <c r="X1560" s="241"/>
      <c r="Y1560" s="241"/>
      <c r="Z1560" s="241"/>
    </row>
    <row r="1561" spans="3:26" ht="16.5">
      <c r="C1561" s="101"/>
      <c r="D1561" s="101"/>
      <c r="E1561" s="101"/>
      <c r="F1561" s="101"/>
      <c r="G1561" s="101"/>
      <c r="H1561" s="101"/>
      <c r="I1561" s="101"/>
      <c r="J1561" s="101"/>
      <c r="S1561" s="101"/>
      <c r="T1561" s="241"/>
      <c r="U1561" s="241"/>
      <c r="V1561" s="241"/>
      <c r="W1561" s="241"/>
      <c r="X1561" s="241"/>
      <c r="Y1561" s="241"/>
      <c r="Z1561" s="241"/>
    </row>
    <row r="1562" spans="3:26" ht="16.5">
      <c r="C1562" s="101"/>
      <c r="D1562" s="101"/>
      <c r="E1562" s="101"/>
      <c r="F1562" s="101"/>
      <c r="G1562" s="101"/>
      <c r="H1562" s="101"/>
      <c r="I1562" s="101"/>
      <c r="J1562" s="101"/>
      <c r="S1562" s="101"/>
      <c r="T1562" s="241"/>
      <c r="U1562" s="241"/>
      <c r="V1562" s="241"/>
      <c r="W1562" s="241"/>
      <c r="X1562" s="241"/>
      <c r="Y1562" s="241"/>
      <c r="Z1562" s="241"/>
    </row>
    <row r="1563" spans="3:26" ht="16.5">
      <c r="C1563" s="101"/>
      <c r="D1563" s="101"/>
      <c r="E1563" s="101"/>
      <c r="F1563" s="101"/>
      <c r="G1563" s="101"/>
      <c r="H1563" s="101"/>
      <c r="I1563" s="101"/>
      <c r="J1563" s="101"/>
      <c r="S1563" s="101"/>
      <c r="T1563" s="241"/>
      <c r="U1563" s="241"/>
      <c r="V1563" s="241"/>
      <c r="W1563" s="241"/>
      <c r="X1563" s="241"/>
      <c r="Y1563" s="241"/>
      <c r="Z1563" s="241"/>
    </row>
    <row r="1564" spans="3:26" ht="16.5">
      <c r="C1564" s="101"/>
      <c r="D1564" s="101"/>
      <c r="E1564" s="101"/>
      <c r="F1564" s="101"/>
      <c r="G1564" s="101"/>
      <c r="H1564" s="101"/>
      <c r="I1564" s="101"/>
      <c r="J1564" s="101"/>
      <c r="S1564" s="101"/>
      <c r="T1564" s="241"/>
      <c r="U1564" s="241"/>
      <c r="V1564" s="241"/>
      <c r="W1564" s="241"/>
      <c r="X1564" s="241"/>
      <c r="Y1564" s="241"/>
      <c r="Z1564" s="241"/>
    </row>
    <row r="1565" spans="3:26" ht="16.5">
      <c r="C1565" s="101"/>
      <c r="D1565" s="101"/>
      <c r="E1565" s="101"/>
      <c r="F1565" s="101"/>
      <c r="G1565" s="101"/>
      <c r="H1565" s="101"/>
      <c r="I1565" s="101"/>
      <c r="J1565" s="101"/>
      <c r="S1565" s="101"/>
      <c r="T1565" s="241"/>
      <c r="U1565" s="241"/>
      <c r="V1565" s="241"/>
      <c r="W1565" s="241"/>
      <c r="X1565" s="241"/>
      <c r="Y1565" s="241"/>
      <c r="Z1565" s="241"/>
    </row>
    <row r="1566" spans="3:26" ht="16.5">
      <c r="C1566" s="101"/>
      <c r="D1566" s="101"/>
      <c r="E1566" s="101"/>
      <c r="F1566" s="101"/>
      <c r="G1566" s="101"/>
      <c r="H1566" s="101"/>
      <c r="I1566" s="101"/>
      <c r="J1566" s="101"/>
      <c r="S1566" s="101"/>
      <c r="T1566" s="241"/>
      <c r="U1566" s="241"/>
      <c r="V1566" s="241"/>
      <c r="W1566" s="241"/>
      <c r="X1566" s="241"/>
      <c r="Y1566" s="241"/>
      <c r="Z1566" s="241"/>
    </row>
    <row r="1567" spans="3:26" ht="16.5">
      <c r="C1567" s="101"/>
      <c r="D1567" s="101"/>
      <c r="E1567" s="101"/>
      <c r="F1567" s="101"/>
      <c r="G1567" s="101"/>
      <c r="H1567" s="101"/>
      <c r="I1567" s="101"/>
      <c r="J1567" s="101"/>
      <c r="S1567" s="101"/>
      <c r="T1567" s="241"/>
      <c r="U1567" s="241"/>
      <c r="V1567" s="241"/>
      <c r="W1567" s="241"/>
      <c r="X1567" s="241"/>
      <c r="Y1567" s="241"/>
      <c r="Z1567" s="241"/>
    </row>
    <row r="1568" spans="3:26" ht="16.5">
      <c r="C1568" s="101"/>
      <c r="D1568" s="101"/>
      <c r="E1568" s="101"/>
      <c r="F1568" s="101"/>
      <c r="G1568" s="101"/>
      <c r="H1568" s="101"/>
      <c r="I1568" s="101"/>
      <c r="J1568" s="101"/>
      <c r="S1568" s="101"/>
      <c r="T1568" s="241"/>
      <c r="U1568" s="241"/>
      <c r="V1568" s="241"/>
      <c r="W1568" s="241"/>
      <c r="X1568" s="241"/>
      <c r="Y1568" s="241"/>
      <c r="Z1568" s="241"/>
    </row>
    <row r="1569" spans="3:26" ht="16.5">
      <c r="C1569" s="101"/>
      <c r="D1569" s="101"/>
      <c r="E1569" s="101"/>
      <c r="F1569" s="101"/>
      <c r="G1569" s="101"/>
      <c r="H1569" s="101"/>
      <c r="I1569" s="101"/>
      <c r="J1569" s="101"/>
      <c r="S1569" s="101"/>
      <c r="T1569" s="241"/>
      <c r="U1569" s="241"/>
      <c r="V1569" s="241"/>
      <c r="W1569" s="241"/>
      <c r="X1569" s="241"/>
      <c r="Y1569" s="241"/>
      <c r="Z1569" s="241"/>
    </row>
    <row r="1570" spans="3:26" ht="16.5">
      <c r="C1570" s="101"/>
      <c r="D1570" s="101"/>
      <c r="E1570" s="101"/>
      <c r="F1570" s="101"/>
      <c r="G1570" s="101"/>
      <c r="H1570" s="101"/>
      <c r="I1570" s="101"/>
      <c r="J1570" s="101"/>
      <c r="S1570" s="101"/>
      <c r="T1570" s="241"/>
      <c r="U1570" s="241"/>
      <c r="V1570" s="241"/>
      <c r="W1570" s="241"/>
      <c r="X1570" s="241"/>
      <c r="Y1570" s="241"/>
      <c r="Z1570" s="241"/>
    </row>
    <row r="1571" spans="3:26" ht="16.5">
      <c r="C1571" s="101"/>
      <c r="D1571" s="101"/>
      <c r="E1571" s="101"/>
      <c r="F1571" s="101"/>
      <c r="G1571" s="101"/>
      <c r="H1571" s="101"/>
      <c r="I1571" s="101"/>
      <c r="J1571" s="101"/>
      <c r="S1571" s="101"/>
      <c r="T1571" s="241"/>
      <c r="U1571" s="241"/>
      <c r="V1571" s="241"/>
      <c r="W1571" s="241"/>
      <c r="X1571" s="241"/>
      <c r="Y1571" s="241"/>
      <c r="Z1571" s="241"/>
    </row>
    <row r="1572" spans="3:26" ht="16.5">
      <c r="C1572" s="101"/>
      <c r="D1572" s="101"/>
      <c r="E1572" s="101"/>
      <c r="F1572" s="101"/>
      <c r="G1572" s="101"/>
      <c r="H1572" s="101"/>
      <c r="I1572" s="101"/>
      <c r="J1572" s="101"/>
      <c r="S1572" s="101"/>
      <c r="T1572" s="241"/>
      <c r="U1572" s="241"/>
      <c r="V1572" s="241"/>
      <c r="W1572" s="241"/>
      <c r="X1572" s="241"/>
      <c r="Y1572" s="241"/>
      <c r="Z1572" s="241"/>
    </row>
    <row r="1573" spans="3:26" ht="16.5">
      <c r="C1573" s="101"/>
      <c r="D1573" s="101"/>
      <c r="E1573" s="101"/>
      <c r="F1573" s="101"/>
      <c r="G1573" s="101"/>
      <c r="H1573" s="101"/>
      <c r="I1573" s="101"/>
      <c r="J1573" s="101"/>
      <c r="S1573" s="101"/>
      <c r="T1573" s="241"/>
      <c r="U1573" s="241"/>
      <c r="V1573" s="241"/>
      <c r="W1573" s="241"/>
      <c r="X1573" s="241"/>
      <c r="Y1573" s="241"/>
      <c r="Z1573" s="241"/>
    </row>
    <row r="1574" spans="3:26" ht="16.5">
      <c r="C1574" s="101"/>
      <c r="D1574" s="101"/>
      <c r="E1574" s="101"/>
      <c r="F1574" s="101"/>
      <c r="G1574" s="101"/>
      <c r="H1574" s="101"/>
      <c r="I1574" s="101"/>
      <c r="J1574" s="101"/>
      <c r="S1574" s="101"/>
      <c r="T1574" s="241"/>
      <c r="U1574" s="241"/>
      <c r="V1574" s="241"/>
      <c r="W1574" s="241"/>
      <c r="X1574" s="241"/>
      <c r="Y1574" s="241"/>
      <c r="Z1574" s="241"/>
    </row>
    <row r="1575" spans="3:26" ht="16.5">
      <c r="C1575" s="101"/>
      <c r="D1575" s="101"/>
      <c r="E1575" s="101"/>
      <c r="F1575" s="101"/>
      <c r="G1575" s="101"/>
      <c r="H1575" s="101"/>
      <c r="I1575" s="101"/>
      <c r="J1575" s="101"/>
      <c r="S1575" s="101"/>
      <c r="T1575" s="241"/>
      <c r="U1575" s="241"/>
      <c r="V1575" s="241"/>
      <c r="W1575" s="241"/>
      <c r="X1575" s="241"/>
      <c r="Y1575" s="241"/>
      <c r="Z1575" s="241"/>
    </row>
    <row r="1576" spans="3:26" ht="16.5">
      <c r="C1576" s="101"/>
      <c r="D1576" s="101"/>
      <c r="E1576" s="101"/>
      <c r="F1576" s="101"/>
      <c r="G1576" s="101"/>
      <c r="H1576" s="101"/>
      <c r="I1576" s="101"/>
      <c r="J1576" s="101"/>
      <c r="S1576" s="101"/>
      <c r="T1576" s="241"/>
      <c r="U1576" s="241"/>
      <c r="V1576" s="241"/>
      <c r="W1576" s="241"/>
      <c r="X1576" s="241"/>
      <c r="Y1576" s="241"/>
      <c r="Z1576" s="241"/>
    </row>
    <row r="1577" spans="3:26" ht="16.5">
      <c r="C1577" s="101"/>
      <c r="D1577" s="101"/>
      <c r="E1577" s="101"/>
      <c r="F1577" s="101"/>
      <c r="G1577" s="101"/>
      <c r="H1577" s="101"/>
      <c r="I1577" s="101"/>
      <c r="J1577" s="101"/>
      <c r="S1577" s="101"/>
      <c r="T1577" s="241"/>
      <c r="U1577" s="241"/>
      <c r="V1577" s="241"/>
      <c r="W1577" s="241"/>
      <c r="X1577" s="241"/>
      <c r="Y1577" s="241"/>
      <c r="Z1577" s="241"/>
    </row>
    <row r="1578" spans="3:26" ht="16.5">
      <c r="C1578" s="101"/>
      <c r="D1578" s="101"/>
      <c r="E1578" s="101"/>
      <c r="F1578" s="101"/>
      <c r="G1578" s="101"/>
      <c r="H1578" s="101"/>
      <c r="I1578" s="101"/>
      <c r="J1578" s="101"/>
      <c r="S1578" s="101"/>
      <c r="T1578" s="241"/>
      <c r="U1578" s="241"/>
      <c r="V1578" s="241"/>
      <c r="W1578" s="241"/>
      <c r="X1578" s="241"/>
      <c r="Y1578" s="241"/>
      <c r="Z1578" s="241"/>
    </row>
    <row r="1579" spans="3:26" ht="16.5">
      <c r="C1579" s="101"/>
      <c r="D1579" s="101"/>
      <c r="E1579" s="101"/>
      <c r="F1579" s="101"/>
      <c r="G1579" s="101"/>
      <c r="H1579" s="101"/>
      <c r="I1579" s="101"/>
      <c r="J1579" s="101"/>
      <c r="S1579" s="101"/>
      <c r="T1579" s="241"/>
      <c r="U1579" s="241"/>
      <c r="V1579" s="241"/>
      <c r="W1579" s="241"/>
      <c r="X1579" s="241"/>
      <c r="Y1579" s="241"/>
      <c r="Z1579" s="241"/>
    </row>
    <row r="1580" spans="3:26" ht="16.5">
      <c r="C1580" s="101"/>
      <c r="D1580" s="101"/>
      <c r="E1580" s="101"/>
      <c r="F1580" s="101"/>
      <c r="G1580" s="101"/>
      <c r="H1580" s="101"/>
      <c r="I1580" s="101"/>
      <c r="J1580" s="101"/>
      <c r="S1580" s="101"/>
      <c r="T1580" s="241"/>
      <c r="U1580" s="241"/>
      <c r="V1580" s="241"/>
      <c r="W1580" s="241"/>
      <c r="X1580" s="241"/>
      <c r="Y1580" s="241"/>
      <c r="Z1580" s="241"/>
    </row>
    <row r="1581" spans="3:26" ht="16.5">
      <c r="C1581" s="101"/>
      <c r="D1581" s="101"/>
      <c r="E1581" s="101"/>
      <c r="F1581" s="101"/>
      <c r="G1581" s="101"/>
      <c r="H1581" s="101"/>
      <c r="I1581" s="101"/>
      <c r="J1581" s="101"/>
      <c r="S1581" s="101"/>
      <c r="T1581" s="241"/>
      <c r="U1581" s="241"/>
      <c r="V1581" s="241"/>
      <c r="W1581" s="241"/>
      <c r="X1581" s="241"/>
      <c r="Y1581" s="241"/>
      <c r="Z1581" s="241"/>
    </row>
    <row r="1582" spans="3:26" ht="16.5">
      <c r="C1582" s="101"/>
      <c r="D1582" s="101"/>
      <c r="E1582" s="101"/>
      <c r="F1582" s="101"/>
      <c r="G1582" s="101"/>
      <c r="H1582" s="101"/>
      <c r="I1582" s="101"/>
      <c r="J1582" s="101"/>
      <c r="S1582" s="101"/>
      <c r="T1582" s="241"/>
      <c r="U1582" s="241"/>
      <c r="V1582" s="241"/>
      <c r="W1582" s="241"/>
      <c r="X1582" s="241"/>
      <c r="Y1582" s="241"/>
      <c r="Z1582" s="241"/>
    </row>
    <row r="1583" spans="3:26" ht="16.5">
      <c r="C1583" s="101"/>
      <c r="D1583" s="101"/>
      <c r="E1583" s="101"/>
      <c r="F1583" s="101"/>
      <c r="G1583" s="101"/>
      <c r="H1583" s="101"/>
      <c r="I1583" s="101"/>
      <c r="J1583" s="101"/>
      <c r="S1583" s="101"/>
      <c r="T1583" s="241"/>
      <c r="U1583" s="241"/>
      <c r="V1583" s="241"/>
      <c r="W1583" s="241"/>
      <c r="X1583" s="241"/>
      <c r="Y1583" s="241"/>
      <c r="Z1583" s="241"/>
    </row>
    <row r="1584" spans="3:26" ht="16.5">
      <c r="C1584" s="101"/>
      <c r="D1584" s="101"/>
      <c r="E1584" s="101"/>
      <c r="F1584" s="101"/>
      <c r="G1584" s="101"/>
      <c r="H1584" s="101"/>
      <c r="I1584" s="101"/>
      <c r="J1584" s="101"/>
      <c r="S1584" s="101"/>
      <c r="T1584" s="241"/>
      <c r="U1584" s="241"/>
      <c r="V1584" s="241"/>
      <c r="W1584" s="241"/>
      <c r="X1584" s="241"/>
      <c r="Y1584" s="241"/>
      <c r="Z1584" s="241"/>
    </row>
    <row r="1585" spans="3:26" ht="16.5">
      <c r="C1585" s="101"/>
      <c r="D1585" s="101"/>
      <c r="E1585" s="101"/>
      <c r="F1585" s="101"/>
      <c r="G1585" s="101"/>
      <c r="H1585" s="101"/>
      <c r="I1585" s="101"/>
      <c r="J1585" s="101"/>
      <c r="S1585" s="101"/>
      <c r="T1585" s="241"/>
      <c r="U1585" s="241"/>
      <c r="V1585" s="241"/>
      <c r="W1585" s="241"/>
      <c r="X1585" s="241"/>
      <c r="Y1585" s="241"/>
      <c r="Z1585" s="241"/>
    </row>
    <row r="1586" spans="3:26" ht="16.5">
      <c r="C1586" s="101"/>
      <c r="D1586" s="101"/>
      <c r="E1586" s="101"/>
      <c r="F1586" s="101"/>
      <c r="G1586" s="101"/>
      <c r="H1586" s="101"/>
      <c r="I1586" s="101"/>
      <c r="J1586" s="101"/>
      <c r="S1586" s="101"/>
      <c r="T1586" s="241"/>
      <c r="U1586" s="241"/>
      <c r="V1586" s="241"/>
      <c r="W1586" s="241"/>
      <c r="X1586" s="241"/>
      <c r="Y1586" s="241"/>
      <c r="Z1586" s="241"/>
    </row>
    <row r="1587" spans="3:26" ht="16.5">
      <c r="C1587" s="101"/>
      <c r="D1587" s="101"/>
      <c r="E1587" s="101"/>
      <c r="F1587" s="101"/>
      <c r="G1587" s="101"/>
      <c r="H1587" s="101"/>
      <c r="I1587" s="101"/>
      <c r="J1587" s="101"/>
      <c r="S1587" s="101"/>
      <c r="T1587" s="241"/>
      <c r="U1587" s="241"/>
      <c r="V1587" s="241"/>
      <c r="W1587" s="241"/>
      <c r="X1587" s="241"/>
      <c r="Y1587" s="241"/>
      <c r="Z1587" s="241"/>
    </row>
    <row r="1588" spans="3:26" ht="16.5">
      <c r="C1588" s="101"/>
      <c r="D1588" s="101"/>
      <c r="E1588" s="101"/>
      <c r="F1588" s="101"/>
      <c r="G1588" s="101"/>
      <c r="H1588" s="101"/>
      <c r="I1588" s="101"/>
      <c r="J1588" s="101"/>
      <c r="S1588" s="101"/>
      <c r="T1588" s="241"/>
      <c r="U1588" s="241"/>
      <c r="V1588" s="241"/>
      <c r="W1588" s="241"/>
      <c r="X1588" s="241"/>
      <c r="Y1588" s="241"/>
      <c r="Z1588" s="241"/>
    </row>
    <row r="1589" spans="3:26" ht="16.5">
      <c r="C1589" s="101"/>
      <c r="D1589" s="101"/>
      <c r="E1589" s="101"/>
      <c r="F1589" s="101"/>
      <c r="G1589" s="101"/>
      <c r="H1589" s="101"/>
      <c r="I1589" s="101"/>
      <c r="J1589" s="101"/>
      <c r="S1589" s="101"/>
      <c r="T1589" s="241"/>
      <c r="U1589" s="241"/>
      <c r="V1589" s="241"/>
      <c r="W1589" s="241"/>
      <c r="X1589" s="241"/>
      <c r="Y1589" s="241"/>
      <c r="Z1589" s="241"/>
    </row>
    <row r="1590" spans="3:26" ht="16.5">
      <c r="C1590" s="101"/>
      <c r="D1590" s="101"/>
      <c r="E1590" s="101"/>
      <c r="F1590" s="101"/>
      <c r="G1590" s="101"/>
      <c r="H1590" s="101"/>
      <c r="I1590" s="101"/>
      <c r="J1590" s="101"/>
      <c r="S1590" s="101"/>
      <c r="T1590" s="241"/>
      <c r="U1590" s="241"/>
      <c r="V1590" s="241"/>
      <c r="W1590" s="241"/>
      <c r="X1590" s="241"/>
      <c r="Y1590" s="241"/>
      <c r="Z1590" s="241"/>
    </row>
    <row r="1591" spans="3:26" ht="16.5">
      <c r="C1591" s="101"/>
      <c r="D1591" s="101"/>
      <c r="E1591" s="101"/>
      <c r="F1591" s="101"/>
      <c r="G1591" s="101"/>
      <c r="H1591" s="101"/>
      <c r="I1591" s="101"/>
      <c r="J1591" s="101"/>
      <c r="S1591" s="101"/>
      <c r="T1591" s="241"/>
      <c r="U1591" s="241"/>
      <c r="V1591" s="241"/>
      <c r="W1591" s="241"/>
      <c r="X1591" s="241"/>
      <c r="Y1591" s="241"/>
      <c r="Z1591" s="241"/>
    </row>
    <row r="1592" spans="3:26" ht="16.5">
      <c r="C1592" s="101"/>
      <c r="D1592" s="101"/>
      <c r="E1592" s="101"/>
      <c r="F1592" s="101"/>
      <c r="G1592" s="101"/>
      <c r="H1592" s="101"/>
      <c r="I1592" s="101"/>
      <c r="J1592" s="101"/>
      <c r="S1592" s="101"/>
      <c r="T1592" s="241"/>
      <c r="U1592" s="241"/>
      <c r="V1592" s="241"/>
      <c r="W1592" s="241"/>
      <c r="X1592" s="241"/>
      <c r="Y1592" s="241"/>
      <c r="Z1592" s="241"/>
    </row>
    <row r="1593" spans="3:26" ht="16.5">
      <c r="C1593" s="101"/>
      <c r="D1593" s="101"/>
      <c r="E1593" s="101"/>
      <c r="F1593" s="101"/>
      <c r="G1593" s="101"/>
      <c r="H1593" s="101"/>
      <c r="I1593" s="101"/>
      <c r="J1593" s="101"/>
      <c r="S1593" s="101"/>
      <c r="T1593" s="241"/>
      <c r="U1593" s="241"/>
      <c r="V1593" s="241"/>
      <c r="W1593" s="241"/>
      <c r="X1593" s="241"/>
      <c r="Y1593" s="241"/>
      <c r="Z1593" s="241"/>
    </row>
    <row r="1594" spans="3:26" ht="16.5">
      <c r="C1594" s="101"/>
      <c r="D1594" s="101"/>
      <c r="E1594" s="101"/>
      <c r="F1594" s="101"/>
      <c r="G1594" s="101"/>
      <c r="H1594" s="101"/>
      <c r="I1594" s="101"/>
      <c r="J1594" s="101"/>
      <c r="S1594" s="101"/>
      <c r="T1594" s="241"/>
      <c r="U1594" s="241"/>
      <c r="V1594" s="241"/>
      <c r="W1594" s="241"/>
      <c r="X1594" s="241"/>
      <c r="Y1594" s="241"/>
      <c r="Z1594" s="241"/>
    </row>
    <row r="1595" spans="3:26" ht="16.5">
      <c r="C1595" s="101"/>
      <c r="D1595" s="101"/>
      <c r="E1595" s="101"/>
      <c r="F1595" s="101"/>
      <c r="G1595" s="101"/>
      <c r="H1595" s="101"/>
      <c r="I1595" s="101"/>
      <c r="J1595" s="101"/>
      <c r="S1595" s="101"/>
      <c r="T1595" s="241"/>
      <c r="U1595" s="241"/>
      <c r="V1595" s="241"/>
      <c r="W1595" s="241"/>
      <c r="X1595" s="241"/>
      <c r="Y1595" s="241"/>
      <c r="Z1595" s="241"/>
    </row>
    <row r="1596" spans="3:26" ht="16.5">
      <c r="C1596" s="101"/>
      <c r="D1596" s="101"/>
      <c r="E1596" s="101"/>
      <c r="F1596" s="101"/>
      <c r="G1596" s="101"/>
      <c r="H1596" s="101"/>
      <c r="I1596" s="101"/>
      <c r="J1596" s="101"/>
      <c r="S1596" s="101"/>
      <c r="T1596" s="241"/>
      <c r="U1596" s="241"/>
      <c r="V1596" s="241"/>
      <c r="W1596" s="241"/>
      <c r="X1596" s="241"/>
      <c r="Y1596" s="241"/>
      <c r="Z1596" s="241"/>
    </row>
    <row r="1597" spans="3:26" ht="16.5">
      <c r="C1597" s="101"/>
      <c r="D1597" s="101"/>
      <c r="E1597" s="101"/>
      <c r="F1597" s="101"/>
      <c r="G1597" s="101"/>
      <c r="H1597" s="101"/>
      <c r="I1597" s="101"/>
      <c r="J1597" s="101"/>
      <c r="S1597" s="101"/>
      <c r="T1597" s="241"/>
      <c r="U1597" s="241"/>
      <c r="V1597" s="241"/>
      <c r="W1597" s="241"/>
      <c r="X1597" s="241"/>
      <c r="Y1597" s="241"/>
      <c r="Z1597" s="241"/>
    </row>
    <row r="1598" spans="3:26" ht="16.5">
      <c r="C1598" s="101"/>
      <c r="D1598" s="101"/>
      <c r="E1598" s="101"/>
      <c r="F1598" s="101"/>
      <c r="G1598" s="101"/>
      <c r="H1598" s="101"/>
      <c r="I1598" s="101"/>
      <c r="J1598" s="101"/>
      <c r="S1598" s="101"/>
      <c r="T1598" s="241"/>
      <c r="U1598" s="241"/>
      <c r="V1598" s="241"/>
      <c r="W1598" s="241"/>
      <c r="X1598" s="241"/>
      <c r="Y1598" s="241"/>
      <c r="Z1598" s="241"/>
    </row>
    <row r="1599" spans="3:26" ht="16.5">
      <c r="C1599" s="101"/>
      <c r="D1599" s="101"/>
      <c r="E1599" s="101"/>
      <c r="F1599" s="101"/>
      <c r="G1599" s="101"/>
      <c r="H1599" s="101"/>
      <c r="I1599" s="101"/>
      <c r="J1599" s="101"/>
      <c r="S1599" s="101"/>
      <c r="T1599" s="241"/>
      <c r="U1599" s="241"/>
      <c r="V1599" s="241"/>
      <c r="W1599" s="241"/>
      <c r="X1599" s="241"/>
      <c r="Y1599" s="241"/>
      <c r="Z1599" s="241"/>
    </row>
    <row r="1600" spans="3:26" ht="16.5">
      <c r="C1600" s="101"/>
      <c r="D1600" s="101"/>
      <c r="E1600" s="101"/>
      <c r="F1600" s="101"/>
      <c r="G1600" s="101"/>
      <c r="H1600" s="101"/>
      <c r="I1600" s="101"/>
      <c r="J1600" s="101"/>
      <c r="S1600" s="101"/>
      <c r="T1600" s="241"/>
      <c r="U1600" s="241"/>
      <c r="V1600" s="241"/>
      <c r="W1600" s="241"/>
      <c r="X1600" s="241"/>
      <c r="Y1600" s="241"/>
      <c r="Z1600" s="241"/>
    </row>
    <row r="1601" spans="3:26" ht="16.5">
      <c r="C1601" s="101"/>
      <c r="D1601" s="101"/>
      <c r="E1601" s="101"/>
      <c r="F1601" s="101"/>
      <c r="G1601" s="101"/>
      <c r="H1601" s="101"/>
      <c r="I1601" s="101"/>
      <c r="J1601" s="101"/>
      <c r="S1601" s="101"/>
      <c r="T1601" s="241"/>
      <c r="U1601" s="241"/>
      <c r="V1601" s="241"/>
      <c r="W1601" s="241"/>
      <c r="X1601" s="241"/>
      <c r="Y1601" s="241"/>
      <c r="Z1601" s="241"/>
    </row>
    <row r="1602" spans="3:26" ht="16.5">
      <c r="C1602" s="101"/>
      <c r="D1602" s="101"/>
      <c r="E1602" s="101"/>
      <c r="F1602" s="101"/>
      <c r="G1602" s="101"/>
      <c r="H1602" s="101"/>
      <c r="I1602" s="101"/>
      <c r="J1602" s="101"/>
      <c r="S1602" s="101"/>
      <c r="T1602" s="241"/>
      <c r="U1602" s="241"/>
      <c r="V1602" s="241"/>
      <c r="W1602" s="241"/>
      <c r="X1602" s="241"/>
      <c r="Y1602" s="241"/>
      <c r="Z1602" s="241"/>
    </row>
    <row r="1603" spans="3:26" ht="16.5">
      <c r="C1603" s="101"/>
      <c r="D1603" s="101"/>
      <c r="E1603" s="101"/>
      <c r="F1603" s="101"/>
      <c r="G1603" s="101"/>
      <c r="H1603" s="101"/>
      <c r="I1603" s="101"/>
      <c r="J1603" s="101"/>
      <c r="S1603" s="101"/>
      <c r="T1603" s="241"/>
      <c r="U1603" s="241"/>
      <c r="V1603" s="241"/>
      <c r="W1603" s="241"/>
      <c r="X1603" s="241"/>
      <c r="Y1603" s="241"/>
      <c r="Z1603" s="241"/>
    </row>
    <row r="1604" spans="3:26" ht="16.5">
      <c r="C1604" s="101"/>
      <c r="D1604" s="101"/>
      <c r="E1604" s="101"/>
      <c r="F1604" s="101"/>
      <c r="G1604" s="101"/>
      <c r="H1604" s="101"/>
      <c r="I1604" s="101"/>
      <c r="J1604" s="101"/>
      <c r="S1604" s="101"/>
      <c r="T1604" s="241"/>
      <c r="U1604" s="241"/>
      <c r="V1604" s="241"/>
      <c r="W1604" s="241"/>
      <c r="X1604" s="241"/>
      <c r="Y1604" s="241"/>
      <c r="Z1604" s="241"/>
    </row>
    <row r="1605" spans="3:26" ht="16.5">
      <c r="C1605" s="101"/>
      <c r="D1605" s="101"/>
      <c r="E1605" s="101"/>
      <c r="F1605" s="101"/>
      <c r="G1605" s="101"/>
      <c r="H1605" s="101"/>
      <c r="I1605" s="101"/>
      <c r="J1605" s="101"/>
      <c r="S1605" s="101"/>
      <c r="T1605" s="241"/>
      <c r="U1605" s="241"/>
      <c r="V1605" s="241"/>
      <c r="W1605" s="241"/>
      <c r="X1605" s="241"/>
      <c r="Y1605" s="241"/>
      <c r="Z1605" s="241"/>
    </row>
    <row r="1606" spans="3:26" ht="16.5">
      <c r="C1606" s="101"/>
      <c r="D1606" s="101"/>
      <c r="E1606" s="101"/>
      <c r="F1606" s="101"/>
      <c r="G1606" s="101"/>
      <c r="H1606" s="101"/>
      <c r="I1606" s="101"/>
      <c r="J1606" s="101"/>
      <c r="S1606" s="101"/>
      <c r="T1606" s="241"/>
      <c r="U1606" s="241"/>
      <c r="V1606" s="241"/>
      <c r="W1606" s="241"/>
      <c r="X1606" s="241"/>
      <c r="Y1606" s="241"/>
      <c r="Z1606" s="241"/>
    </row>
    <row r="1607" spans="3:26" ht="16.5">
      <c r="C1607" s="101"/>
      <c r="D1607" s="101"/>
      <c r="E1607" s="101"/>
      <c r="F1607" s="101"/>
      <c r="G1607" s="101"/>
      <c r="H1607" s="101"/>
      <c r="I1607" s="101"/>
      <c r="J1607" s="101"/>
      <c r="S1607" s="101"/>
      <c r="T1607" s="241"/>
      <c r="U1607" s="241"/>
      <c r="V1607" s="241"/>
      <c r="W1607" s="241"/>
      <c r="X1607" s="241"/>
      <c r="Y1607" s="241"/>
      <c r="Z1607" s="241"/>
    </row>
    <row r="1608" spans="3:26" ht="16.5">
      <c r="C1608" s="101"/>
      <c r="D1608" s="101"/>
      <c r="E1608" s="101"/>
      <c r="F1608" s="101"/>
      <c r="G1608" s="101"/>
      <c r="H1608" s="101"/>
      <c r="I1608" s="101"/>
      <c r="J1608" s="101"/>
      <c r="S1608" s="101"/>
      <c r="T1608" s="241"/>
      <c r="U1608" s="241"/>
      <c r="V1608" s="241"/>
      <c r="W1608" s="241"/>
      <c r="X1608" s="241"/>
      <c r="Y1608" s="241"/>
      <c r="Z1608" s="241"/>
    </row>
    <row r="1609" spans="3:26" ht="16.5">
      <c r="C1609" s="101"/>
      <c r="D1609" s="101"/>
      <c r="E1609" s="101"/>
      <c r="F1609" s="101"/>
      <c r="G1609" s="101"/>
      <c r="H1609" s="101"/>
      <c r="I1609" s="101"/>
      <c r="J1609" s="101"/>
      <c r="S1609" s="101"/>
      <c r="T1609" s="241"/>
      <c r="U1609" s="241"/>
      <c r="V1609" s="241"/>
      <c r="W1609" s="241"/>
      <c r="X1609" s="241"/>
      <c r="Y1609" s="241"/>
      <c r="Z1609" s="241"/>
    </row>
    <row r="1610" spans="3:26" ht="16.5">
      <c r="C1610" s="101"/>
      <c r="D1610" s="101"/>
      <c r="E1610" s="101"/>
      <c r="F1610" s="101"/>
      <c r="G1610" s="101"/>
      <c r="H1610" s="101"/>
      <c r="I1610" s="101"/>
      <c r="J1610" s="101"/>
      <c r="S1610" s="101"/>
      <c r="T1610" s="241"/>
      <c r="U1610" s="241"/>
      <c r="V1610" s="241"/>
      <c r="W1610" s="241"/>
      <c r="X1610" s="241"/>
      <c r="Y1610" s="241"/>
      <c r="Z1610" s="241"/>
    </row>
    <row r="1611" spans="3:26" ht="16.5">
      <c r="C1611" s="101"/>
      <c r="D1611" s="101"/>
      <c r="E1611" s="101"/>
      <c r="F1611" s="101"/>
      <c r="G1611" s="101"/>
      <c r="H1611" s="101"/>
      <c r="I1611" s="101"/>
      <c r="J1611" s="101"/>
      <c r="S1611" s="101"/>
      <c r="T1611" s="241"/>
      <c r="U1611" s="241"/>
      <c r="V1611" s="241"/>
      <c r="W1611" s="241"/>
      <c r="X1611" s="241"/>
      <c r="Y1611" s="241"/>
      <c r="Z1611" s="241"/>
    </row>
    <row r="1612" spans="3:26" ht="16.5">
      <c r="C1612" s="101"/>
      <c r="D1612" s="101"/>
      <c r="E1612" s="101"/>
      <c r="F1612" s="101"/>
      <c r="G1612" s="101"/>
      <c r="H1612" s="101"/>
      <c r="I1612" s="101"/>
      <c r="J1612" s="101"/>
      <c r="S1612" s="101"/>
      <c r="T1612" s="241"/>
      <c r="U1612" s="241"/>
      <c r="V1612" s="241"/>
      <c r="W1612" s="241"/>
      <c r="X1612" s="241"/>
      <c r="Y1612" s="241"/>
      <c r="Z1612" s="241"/>
    </row>
    <row r="1613" spans="3:26" ht="16.5">
      <c r="C1613" s="101"/>
      <c r="D1613" s="101"/>
      <c r="E1613" s="101"/>
      <c r="F1613" s="101"/>
      <c r="G1613" s="101"/>
      <c r="H1613" s="101"/>
      <c r="I1613" s="101"/>
      <c r="J1613" s="101"/>
      <c r="S1613" s="101"/>
      <c r="T1613" s="241"/>
      <c r="U1613" s="241"/>
      <c r="V1613" s="241"/>
      <c r="W1613" s="241"/>
      <c r="X1613" s="241"/>
      <c r="Y1613" s="241"/>
      <c r="Z1613" s="241"/>
    </row>
    <row r="1614" spans="3:26" ht="16.5">
      <c r="C1614" s="101"/>
      <c r="D1614" s="101"/>
      <c r="E1614" s="101"/>
      <c r="F1614" s="101"/>
      <c r="G1614" s="101"/>
      <c r="H1614" s="101"/>
      <c r="I1614" s="101"/>
      <c r="J1614" s="101"/>
      <c r="S1614" s="101"/>
      <c r="T1614" s="241"/>
      <c r="U1614" s="241"/>
      <c r="V1614" s="241"/>
      <c r="W1614" s="241"/>
      <c r="X1614" s="241"/>
      <c r="Y1614" s="241"/>
      <c r="Z1614" s="241"/>
    </row>
    <row r="1615" spans="3:26" ht="16.5">
      <c r="C1615" s="101"/>
      <c r="D1615" s="101"/>
      <c r="E1615" s="101"/>
      <c r="F1615" s="101"/>
      <c r="G1615" s="101"/>
      <c r="H1615" s="101"/>
      <c r="I1615" s="101"/>
      <c r="J1615" s="101"/>
      <c r="S1615" s="101"/>
      <c r="T1615" s="241"/>
      <c r="U1615" s="241"/>
      <c r="V1615" s="241"/>
      <c r="W1615" s="241"/>
      <c r="X1615" s="241"/>
      <c r="Y1615" s="241"/>
      <c r="Z1615" s="241"/>
    </row>
    <row r="1616" spans="3:26" ht="16.5">
      <c r="C1616" s="101"/>
      <c r="D1616" s="101"/>
      <c r="E1616" s="101"/>
      <c r="F1616" s="101"/>
      <c r="G1616" s="101"/>
      <c r="H1616" s="101"/>
      <c r="I1616" s="101"/>
      <c r="J1616" s="101"/>
      <c r="S1616" s="101"/>
      <c r="T1616" s="241"/>
      <c r="U1616" s="241"/>
      <c r="V1616" s="241"/>
      <c r="W1616" s="241"/>
      <c r="X1616" s="241"/>
      <c r="Y1616" s="241"/>
      <c r="Z1616" s="241"/>
    </row>
    <row r="1617" spans="3:26" ht="16.5">
      <c r="C1617" s="101"/>
      <c r="D1617" s="101"/>
      <c r="E1617" s="101"/>
      <c r="F1617" s="101"/>
      <c r="G1617" s="101"/>
      <c r="H1617" s="101"/>
      <c r="I1617" s="101"/>
      <c r="J1617" s="101"/>
      <c r="S1617" s="101"/>
      <c r="T1617" s="241"/>
      <c r="U1617" s="241"/>
      <c r="V1617" s="241"/>
      <c r="W1617" s="241"/>
      <c r="X1617" s="241"/>
      <c r="Y1617" s="241"/>
      <c r="Z1617" s="241"/>
    </row>
    <row r="1618" spans="3:26" ht="16.5">
      <c r="C1618" s="101"/>
      <c r="D1618" s="101"/>
      <c r="E1618" s="101"/>
      <c r="F1618" s="101"/>
      <c r="G1618" s="101"/>
      <c r="H1618" s="101"/>
      <c r="I1618" s="101"/>
      <c r="J1618" s="101"/>
      <c r="S1618" s="101"/>
      <c r="T1618" s="241"/>
      <c r="U1618" s="241"/>
      <c r="V1618" s="241"/>
      <c r="W1618" s="241"/>
      <c r="X1618" s="241"/>
      <c r="Y1618" s="241"/>
      <c r="Z1618" s="241"/>
    </row>
    <row r="1619" spans="3:26" ht="16.5">
      <c r="C1619" s="101"/>
      <c r="D1619" s="101"/>
      <c r="E1619" s="101"/>
      <c r="F1619" s="101"/>
      <c r="G1619" s="101"/>
      <c r="H1619" s="101"/>
      <c r="I1619" s="101"/>
      <c r="J1619" s="101"/>
      <c r="S1619" s="101"/>
      <c r="T1619" s="241"/>
      <c r="U1619" s="241"/>
      <c r="V1619" s="241"/>
      <c r="W1619" s="241"/>
      <c r="X1619" s="241"/>
      <c r="Y1619" s="241"/>
      <c r="Z1619" s="241"/>
    </row>
    <row r="1620" spans="3:26" ht="16.5">
      <c r="C1620" s="101"/>
      <c r="D1620" s="101"/>
      <c r="E1620" s="101"/>
      <c r="F1620" s="101"/>
      <c r="G1620" s="101"/>
      <c r="H1620" s="101"/>
      <c r="I1620" s="101"/>
      <c r="J1620" s="101"/>
      <c r="S1620" s="101"/>
      <c r="T1620" s="241"/>
      <c r="U1620" s="241"/>
      <c r="V1620" s="241"/>
      <c r="W1620" s="241"/>
      <c r="X1620" s="241"/>
      <c r="Y1620" s="241"/>
      <c r="Z1620" s="241"/>
    </row>
    <row r="1621" spans="3:26" ht="16.5">
      <c r="C1621" s="101"/>
      <c r="D1621" s="101"/>
      <c r="E1621" s="101"/>
      <c r="F1621" s="101"/>
      <c r="G1621" s="101"/>
      <c r="H1621" s="101"/>
      <c r="I1621" s="101"/>
      <c r="J1621" s="101"/>
      <c r="S1621" s="101"/>
      <c r="T1621" s="241"/>
      <c r="U1621" s="241"/>
      <c r="V1621" s="241"/>
      <c r="W1621" s="241"/>
      <c r="X1621" s="241"/>
      <c r="Y1621" s="241"/>
      <c r="Z1621" s="241"/>
    </row>
    <row r="1622" spans="3:26" ht="16.5">
      <c r="C1622" s="101"/>
      <c r="D1622" s="101"/>
      <c r="E1622" s="101"/>
      <c r="F1622" s="101"/>
      <c r="G1622" s="101"/>
      <c r="H1622" s="101"/>
      <c r="I1622" s="101"/>
      <c r="J1622" s="101"/>
      <c r="S1622" s="101"/>
      <c r="T1622" s="241"/>
      <c r="U1622" s="241"/>
      <c r="V1622" s="241"/>
      <c r="W1622" s="241"/>
      <c r="X1622" s="241"/>
      <c r="Y1622" s="241"/>
      <c r="Z1622" s="241"/>
    </row>
    <row r="1623" spans="3:26" ht="16.5">
      <c r="C1623" s="101"/>
      <c r="D1623" s="101"/>
      <c r="E1623" s="101"/>
      <c r="F1623" s="101"/>
      <c r="G1623" s="101"/>
      <c r="H1623" s="101"/>
      <c r="I1623" s="101"/>
      <c r="J1623" s="101"/>
      <c r="S1623" s="101"/>
      <c r="T1623" s="241"/>
      <c r="U1623" s="241"/>
      <c r="V1623" s="241"/>
      <c r="W1623" s="241"/>
      <c r="X1623" s="241"/>
      <c r="Y1623" s="241"/>
      <c r="Z1623" s="241"/>
    </row>
    <row r="1624" spans="3:26" ht="16.5">
      <c r="C1624" s="101"/>
      <c r="D1624" s="101"/>
      <c r="E1624" s="101"/>
      <c r="F1624" s="101"/>
      <c r="G1624" s="101"/>
      <c r="H1624" s="101"/>
      <c r="I1624" s="101"/>
      <c r="J1624" s="101"/>
      <c r="S1624" s="101"/>
      <c r="T1624" s="241"/>
      <c r="U1624" s="241"/>
      <c r="V1624" s="241"/>
      <c r="W1624" s="241"/>
      <c r="X1624" s="241"/>
      <c r="Y1624" s="241"/>
      <c r="Z1624" s="241"/>
    </row>
    <row r="1625" spans="3:26" ht="16.5">
      <c r="C1625" s="101"/>
      <c r="D1625" s="101"/>
      <c r="E1625" s="101"/>
      <c r="F1625" s="101"/>
      <c r="G1625" s="101"/>
      <c r="H1625" s="101"/>
      <c r="I1625" s="101"/>
      <c r="J1625" s="101"/>
      <c r="S1625" s="101"/>
      <c r="T1625" s="241"/>
      <c r="U1625" s="241"/>
      <c r="V1625" s="241"/>
      <c r="W1625" s="241"/>
      <c r="X1625" s="241"/>
      <c r="Y1625" s="241"/>
      <c r="Z1625" s="241"/>
    </row>
    <row r="1626" spans="3:26" ht="16.5">
      <c r="C1626" s="101"/>
      <c r="D1626" s="101"/>
      <c r="E1626" s="101"/>
      <c r="F1626" s="101"/>
      <c r="G1626" s="101"/>
      <c r="H1626" s="101"/>
      <c r="I1626" s="101"/>
      <c r="J1626" s="101"/>
      <c r="S1626" s="101"/>
      <c r="T1626" s="241"/>
      <c r="U1626" s="241"/>
      <c r="V1626" s="241"/>
      <c r="W1626" s="241"/>
      <c r="X1626" s="241"/>
      <c r="Y1626" s="241"/>
      <c r="Z1626" s="241"/>
    </row>
    <row r="1627" spans="3:26" ht="16.5">
      <c r="C1627" s="101"/>
      <c r="D1627" s="101"/>
      <c r="E1627" s="101"/>
      <c r="F1627" s="101"/>
      <c r="G1627" s="101"/>
      <c r="H1627" s="101"/>
      <c r="I1627" s="101"/>
      <c r="J1627" s="101"/>
      <c r="S1627" s="101"/>
      <c r="T1627" s="241"/>
      <c r="U1627" s="241"/>
      <c r="V1627" s="241"/>
      <c r="W1627" s="241"/>
      <c r="X1627" s="241"/>
      <c r="Y1627" s="241"/>
      <c r="Z1627" s="241"/>
    </row>
    <row r="1628" spans="3:26" ht="16.5">
      <c r="C1628" s="101"/>
      <c r="D1628" s="101"/>
      <c r="E1628" s="101"/>
      <c r="F1628" s="101"/>
      <c r="G1628" s="101"/>
      <c r="H1628" s="101"/>
      <c r="I1628" s="101"/>
      <c r="J1628" s="101"/>
      <c r="S1628" s="101"/>
      <c r="T1628" s="241"/>
      <c r="U1628" s="241"/>
      <c r="V1628" s="241"/>
      <c r="W1628" s="241"/>
      <c r="X1628" s="241"/>
      <c r="Y1628" s="241"/>
      <c r="Z1628" s="241"/>
    </row>
    <row r="1629" spans="3:26" ht="16.5">
      <c r="C1629" s="101"/>
      <c r="D1629" s="101"/>
      <c r="E1629" s="101"/>
      <c r="F1629" s="101"/>
      <c r="G1629" s="101"/>
      <c r="H1629" s="101"/>
      <c r="I1629" s="101"/>
      <c r="J1629" s="101"/>
      <c r="S1629" s="101"/>
      <c r="T1629" s="241"/>
      <c r="U1629" s="241"/>
      <c r="V1629" s="241"/>
      <c r="W1629" s="241"/>
      <c r="X1629" s="241"/>
      <c r="Y1629" s="241"/>
      <c r="Z1629" s="241"/>
    </row>
    <row r="1630" spans="3:26" ht="16.5">
      <c r="C1630" s="101"/>
      <c r="D1630" s="101"/>
      <c r="E1630" s="101"/>
      <c r="F1630" s="101"/>
      <c r="G1630" s="101"/>
      <c r="H1630" s="101"/>
      <c r="I1630" s="101"/>
      <c r="J1630" s="101"/>
      <c r="S1630" s="101"/>
      <c r="T1630" s="241"/>
      <c r="U1630" s="241"/>
      <c r="V1630" s="241"/>
      <c r="W1630" s="241"/>
      <c r="X1630" s="241"/>
      <c r="Y1630" s="241"/>
      <c r="Z1630" s="241"/>
    </row>
    <row r="1631" spans="3:26" ht="16.5">
      <c r="C1631" s="101"/>
      <c r="D1631" s="101"/>
      <c r="E1631" s="101"/>
      <c r="F1631" s="101"/>
      <c r="G1631" s="101"/>
      <c r="H1631" s="101"/>
      <c r="I1631" s="101"/>
      <c r="J1631" s="101"/>
      <c r="S1631" s="101"/>
      <c r="T1631" s="241"/>
      <c r="U1631" s="241"/>
      <c r="V1631" s="241"/>
      <c r="W1631" s="241"/>
      <c r="X1631" s="241"/>
      <c r="Y1631" s="241"/>
      <c r="Z1631" s="241"/>
    </row>
    <row r="1632" spans="3:26" ht="16.5">
      <c r="C1632" s="101"/>
      <c r="D1632" s="101"/>
      <c r="E1632" s="101"/>
      <c r="F1632" s="101"/>
      <c r="G1632" s="101"/>
      <c r="H1632" s="101"/>
      <c r="I1632" s="101"/>
      <c r="J1632" s="101"/>
      <c r="S1632" s="101"/>
      <c r="T1632" s="241"/>
      <c r="U1632" s="241"/>
      <c r="V1632" s="241"/>
      <c r="W1632" s="241"/>
      <c r="X1632" s="241"/>
      <c r="Y1632" s="241"/>
      <c r="Z1632" s="241"/>
    </row>
    <row r="1633" spans="3:26" ht="16.5">
      <c r="C1633" s="101"/>
      <c r="D1633" s="101"/>
      <c r="E1633" s="101"/>
      <c r="F1633" s="101"/>
      <c r="G1633" s="101"/>
      <c r="H1633" s="101"/>
      <c r="I1633" s="101"/>
      <c r="J1633" s="101"/>
      <c r="S1633" s="101"/>
      <c r="T1633" s="241"/>
      <c r="U1633" s="241"/>
      <c r="V1633" s="241"/>
      <c r="W1633" s="241"/>
      <c r="X1633" s="241"/>
      <c r="Y1633" s="241"/>
      <c r="Z1633" s="241"/>
    </row>
    <row r="1634" spans="3:26" ht="16.5">
      <c r="C1634" s="101"/>
      <c r="D1634" s="101"/>
      <c r="E1634" s="101"/>
      <c r="F1634" s="101"/>
      <c r="G1634" s="101"/>
      <c r="H1634" s="101"/>
      <c r="I1634" s="101"/>
      <c r="J1634" s="101"/>
      <c r="S1634" s="101"/>
      <c r="T1634" s="241"/>
      <c r="U1634" s="241"/>
      <c r="V1634" s="241"/>
      <c r="W1634" s="241"/>
      <c r="X1634" s="241"/>
      <c r="Y1634" s="241"/>
      <c r="Z1634" s="241"/>
    </row>
    <row r="1635" spans="3:26" ht="16.5">
      <c r="C1635" s="101"/>
      <c r="D1635" s="101"/>
      <c r="E1635" s="101"/>
      <c r="F1635" s="101"/>
      <c r="G1635" s="101"/>
      <c r="H1635" s="101"/>
      <c r="I1635" s="101"/>
      <c r="J1635" s="101"/>
      <c r="S1635" s="101"/>
      <c r="T1635" s="241"/>
      <c r="U1635" s="241"/>
      <c r="V1635" s="241"/>
      <c r="W1635" s="241"/>
      <c r="X1635" s="241"/>
      <c r="Y1635" s="241"/>
      <c r="Z1635" s="241"/>
    </row>
    <row r="1636" spans="3:26" ht="16.5">
      <c r="C1636" s="101"/>
      <c r="D1636" s="101"/>
      <c r="E1636" s="101"/>
      <c r="F1636" s="101"/>
      <c r="G1636" s="101"/>
      <c r="H1636" s="101"/>
      <c r="I1636" s="101"/>
      <c r="J1636" s="101"/>
      <c r="S1636" s="101"/>
      <c r="T1636" s="241"/>
      <c r="U1636" s="241"/>
      <c r="V1636" s="241"/>
      <c r="W1636" s="241"/>
      <c r="X1636" s="241"/>
      <c r="Y1636" s="241"/>
      <c r="Z1636" s="241"/>
    </row>
    <row r="1637" spans="3:26" ht="16.5">
      <c r="C1637" s="101"/>
      <c r="D1637" s="101"/>
      <c r="E1637" s="101"/>
      <c r="F1637" s="101"/>
      <c r="G1637" s="101"/>
      <c r="H1637" s="101"/>
      <c r="I1637" s="101"/>
      <c r="J1637" s="101"/>
      <c r="S1637" s="101"/>
      <c r="T1637" s="241"/>
      <c r="U1637" s="241"/>
      <c r="V1637" s="241"/>
      <c r="W1637" s="241"/>
      <c r="X1637" s="241"/>
      <c r="Y1637" s="241"/>
      <c r="Z1637" s="241"/>
    </row>
    <row r="1638" spans="3:26" ht="16.5">
      <c r="C1638" s="101"/>
      <c r="D1638" s="101"/>
      <c r="E1638" s="101"/>
      <c r="F1638" s="101"/>
      <c r="G1638" s="101"/>
      <c r="H1638" s="101"/>
      <c r="I1638" s="101"/>
      <c r="J1638" s="101"/>
      <c r="S1638" s="101"/>
      <c r="T1638" s="241"/>
      <c r="U1638" s="241"/>
      <c r="V1638" s="241"/>
      <c r="W1638" s="241"/>
      <c r="X1638" s="241"/>
      <c r="Y1638" s="241"/>
      <c r="Z1638" s="241"/>
    </row>
    <row r="1639" spans="3:26" ht="16.5">
      <c r="C1639" s="101"/>
      <c r="D1639" s="101"/>
      <c r="E1639" s="101"/>
      <c r="F1639" s="101"/>
      <c r="G1639" s="101"/>
      <c r="H1639" s="101"/>
      <c r="I1639" s="101"/>
      <c r="J1639" s="101"/>
      <c r="S1639" s="101"/>
      <c r="T1639" s="241"/>
      <c r="U1639" s="241"/>
      <c r="V1639" s="241"/>
      <c r="W1639" s="241"/>
      <c r="X1639" s="241"/>
      <c r="Y1639" s="241"/>
      <c r="Z1639" s="241"/>
    </row>
    <row r="1640" spans="3:26" ht="16.5">
      <c r="C1640" s="101"/>
      <c r="D1640" s="101"/>
      <c r="E1640" s="101"/>
      <c r="F1640" s="101"/>
      <c r="G1640" s="101"/>
      <c r="H1640" s="101"/>
      <c r="I1640" s="101"/>
      <c r="J1640" s="101"/>
      <c r="S1640" s="101"/>
      <c r="T1640" s="241"/>
      <c r="U1640" s="241"/>
      <c r="V1640" s="241"/>
      <c r="W1640" s="241"/>
      <c r="X1640" s="241"/>
      <c r="Y1640" s="241"/>
      <c r="Z1640" s="241"/>
    </row>
    <row r="1641" spans="3:26" ht="16.5">
      <c r="C1641" s="101"/>
      <c r="D1641" s="101"/>
      <c r="E1641" s="101"/>
      <c r="F1641" s="101"/>
      <c r="G1641" s="101"/>
      <c r="H1641" s="101"/>
      <c r="I1641" s="101"/>
      <c r="J1641" s="101"/>
      <c r="S1641" s="101"/>
      <c r="T1641" s="241"/>
      <c r="U1641" s="241"/>
      <c r="V1641" s="241"/>
      <c r="W1641" s="241"/>
      <c r="X1641" s="241"/>
      <c r="Y1641" s="241"/>
      <c r="Z1641" s="241"/>
    </row>
    <row r="1642" spans="3:26" ht="16.5">
      <c r="C1642" s="101"/>
      <c r="D1642" s="101"/>
      <c r="E1642" s="101"/>
      <c r="F1642" s="101"/>
      <c r="G1642" s="101"/>
      <c r="H1642" s="101"/>
      <c r="I1642" s="101"/>
      <c r="J1642" s="101"/>
      <c r="S1642" s="101"/>
      <c r="T1642" s="241"/>
      <c r="U1642" s="241"/>
      <c r="V1642" s="241"/>
      <c r="W1642" s="241"/>
      <c r="X1642" s="241"/>
      <c r="Y1642" s="241"/>
      <c r="Z1642" s="241"/>
    </row>
    <row r="1643" spans="3:26" ht="16.5">
      <c r="C1643" s="101"/>
      <c r="D1643" s="101"/>
      <c r="E1643" s="101"/>
      <c r="F1643" s="101"/>
      <c r="G1643" s="101"/>
      <c r="H1643" s="101"/>
      <c r="I1643" s="101"/>
      <c r="J1643" s="101"/>
      <c r="S1643" s="101"/>
      <c r="T1643" s="241"/>
      <c r="U1643" s="241"/>
      <c r="V1643" s="241"/>
      <c r="W1643" s="241"/>
      <c r="X1643" s="241"/>
      <c r="Y1643" s="241"/>
      <c r="Z1643" s="241"/>
    </row>
    <row r="1644" spans="3:26" ht="16.5">
      <c r="C1644" s="101"/>
      <c r="D1644" s="101"/>
      <c r="E1644" s="101"/>
      <c r="F1644" s="101"/>
      <c r="G1644" s="101"/>
      <c r="H1644" s="101"/>
      <c r="I1644" s="101"/>
      <c r="J1644" s="101"/>
      <c r="S1644" s="101"/>
      <c r="T1644" s="241"/>
      <c r="U1644" s="241"/>
      <c r="V1644" s="241"/>
      <c r="W1644" s="241"/>
      <c r="X1644" s="241"/>
      <c r="Y1644" s="241"/>
      <c r="Z1644" s="241"/>
    </row>
    <row r="1645" spans="3:26" ht="16.5">
      <c r="C1645" s="101"/>
      <c r="D1645" s="101"/>
      <c r="E1645" s="101"/>
      <c r="F1645" s="101"/>
      <c r="G1645" s="101"/>
      <c r="H1645" s="101"/>
      <c r="I1645" s="101"/>
      <c r="J1645" s="101"/>
      <c r="S1645" s="101"/>
      <c r="T1645" s="241"/>
      <c r="U1645" s="241"/>
      <c r="V1645" s="241"/>
      <c r="W1645" s="241"/>
      <c r="X1645" s="241"/>
      <c r="Y1645" s="241"/>
      <c r="Z1645" s="241"/>
    </row>
    <row r="1646" spans="3:26" ht="16.5">
      <c r="C1646" s="101"/>
      <c r="D1646" s="101"/>
      <c r="E1646" s="101"/>
      <c r="F1646" s="101"/>
      <c r="G1646" s="101"/>
      <c r="H1646" s="101"/>
      <c r="I1646" s="101"/>
      <c r="J1646" s="101"/>
      <c r="S1646" s="101"/>
      <c r="T1646" s="241"/>
      <c r="U1646" s="241"/>
      <c r="V1646" s="241"/>
      <c r="W1646" s="241"/>
      <c r="X1646" s="241"/>
      <c r="Y1646" s="241"/>
      <c r="Z1646" s="241"/>
    </row>
    <row r="1647" spans="3:26" ht="16.5">
      <c r="C1647" s="101"/>
      <c r="D1647" s="101"/>
      <c r="E1647" s="101"/>
      <c r="F1647" s="101"/>
      <c r="G1647" s="101"/>
      <c r="H1647" s="101"/>
      <c r="I1647" s="101"/>
      <c r="J1647" s="101"/>
      <c r="S1647" s="101"/>
      <c r="T1647" s="241"/>
      <c r="U1647" s="241"/>
      <c r="V1647" s="241"/>
      <c r="W1647" s="241"/>
      <c r="X1647" s="241"/>
      <c r="Y1647" s="241"/>
      <c r="Z1647" s="241"/>
    </row>
    <row r="1648" spans="3:26" ht="16.5">
      <c r="C1648" s="101"/>
      <c r="D1648" s="101"/>
      <c r="E1648" s="101"/>
      <c r="F1648" s="101"/>
      <c r="G1648" s="101"/>
      <c r="H1648" s="101"/>
      <c r="I1648" s="101"/>
      <c r="J1648" s="101"/>
      <c r="S1648" s="101"/>
      <c r="T1648" s="241"/>
      <c r="U1648" s="241"/>
      <c r="V1648" s="241"/>
      <c r="W1648" s="241"/>
      <c r="X1648" s="241"/>
      <c r="Y1648" s="241"/>
      <c r="Z1648" s="241"/>
    </row>
    <row r="1649" spans="3:26" ht="16.5">
      <c r="C1649" s="101"/>
      <c r="D1649" s="101"/>
      <c r="E1649" s="101"/>
      <c r="F1649" s="101"/>
      <c r="G1649" s="101"/>
      <c r="H1649" s="101"/>
      <c r="I1649" s="101"/>
      <c r="J1649" s="101"/>
      <c r="S1649" s="101"/>
      <c r="T1649" s="241"/>
      <c r="U1649" s="241"/>
      <c r="V1649" s="241"/>
      <c r="W1649" s="241"/>
      <c r="X1649" s="241"/>
      <c r="Y1649" s="241"/>
      <c r="Z1649" s="241"/>
    </row>
    <row r="1650" spans="3:26" ht="16.5">
      <c r="C1650" s="101"/>
      <c r="D1650" s="101"/>
      <c r="E1650" s="101"/>
      <c r="F1650" s="101"/>
      <c r="G1650" s="101"/>
      <c r="H1650" s="101"/>
      <c r="I1650" s="101"/>
      <c r="J1650" s="101"/>
      <c r="S1650" s="101"/>
      <c r="T1650" s="241"/>
      <c r="U1650" s="241"/>
      <c r="V1650" s="241"/>
      <c r="W1650" s="241"/>
      <c r="X1650" s="241"/>
      <c r="Y1650" s="241"/>
      <c r="Z1650" s="241"/>
    </row>
    <row r="1651" spans="3:26" ht="16.5">
      <c r="C1651" s="101"/>
      <c r="D1651" s="101"/>
      <c r="E1651" s="101"/>
      <c r="F1651" s="101"/>
      <c r="G1651" s="101"/>
      <c r="H1651" s="101"/>
      <c r="I1651" s="101"/>
      <c r="J1651" s="101"/>
      <c r="S1651" s="101"/>
      <c r="T1651" s="241"/>
      <c r="U1651" s="241"/>
      <c r="V1651" s="241"/>
      <c r="W1651" s="241"/>
      <c r="X1651" s="241"/>
      <c r="Y1651" s="241"/>
      <c r="Z1651" s="241"/>
    </row>
    <row r="1652" spans="3:26" ht="16.5">
      <c r="C1652" s="101"/>
      <c r="D1652" s="101"/>
      <c r="E1652" s="101"/>
      <c r="F1652" s="101"/>
      <c r="G1652" s="101"/>
      <c r="H1652" s="101"/>
      <c r="I1652" s="101"/>
      <c r="J1652" s="101"/>
      <c r="S1652" s="101"/>
      <c r="T1652" s="241"/>
      <c r="U1652" s="241"/>
      <c r="V1652" s="241"/>
      <c r="W1652" s="241"/>
      <c r="X1652" s="241"/>
      <c r="Y1652" s="241"/>
      <c r="Z1652" s="241"/>
    </row>
    <row r="1653" spans="3:26" ht="16.5">
      <c r="C1653" s="101"/>
      <c r="D1653" s="101"/>
      <c r="E1653" s="101"/>
      <c r="F1653" s="101"/>
      <c r="G1653" s="101"/>
      <c r="H1653" s="101"/>
      <c r="I1653" s="101"/>
      <c r="J1653" s="101"/>
      <c r="S1653" s="101"/>
      <c r="T1653" s="241"/>
      <c r="U1653" s="241"/>
      <c r="V1653" s="241"/>
      <c r="W1653" s="241"/>
      <c r="X1653" s="241"/>
      <c r="Y1653" s="241"/>
      <c r="Z1653" s="241"/>
    </row>
    <row r="1654" spans="3:26" ht="16.5">
      <c r="C1654" s="101"/>
      <c r="D1654" s="101"/>
      <c r="E1654" s="101"/>
      <c r="F1654" s="101"/>
      <c r="G1654" s="101"/>
      <c r="H1654" s="101"/>
      <c r="I1654" s="101"/>
      <c r="J1654" s="101"/>
      <c r="S1654" s="101"/>
      <c r="T1654" s="241"/>
      <c r="U1654" s="241"/>
      <c r="V1654" s="241"/>
      <c r="W1654" s="241"/>
      <c r="X1654" s="241"/>
      <c r="Y1654" s="241"/>
      <c r="Z1654" s="241"/>
    </row>
    <row r="1655" spans="3:26" ht="16.5">
      <c r="C1655" s="101"/>
      <c r="D1655" s="101"/>
      <c r="E1655" s="101"/>
      <c r="F1655" s="101"/>
      <c r="G1655" s="101"/>
      <c r="H1655" s="101"/>
      <c r="I1655" s="101"/>
      <c r="J1655" s="101"/>
      <c r="S1655" s="101"/>
      <c r="T1655" s="241"/>
      <c r="U1655" s="241"/>
      <c r="V1655" s="241"/>
      <c r="W1655" s="241"/>
      <c r="X1655" s="241"/>
      <c r="Y1655" s="241"/>
      <c r="Z1655" s="241"/>
    </row>
    <row r="1656" spans="3:26" ht="16.5">
      <c r="C1656" s="101"/>
      <c r="D1656" s="101"/>
      <c r="E1656" s="101"/>
      <c r="F1656" s="101"/>
      <c r="G1656" s="101"/>
      <c r="H1656" s="101"/>
      <c r="I1656" s="101"/>
      <c r="J1656" s="101"/>
      <c r="S1656" s="101"/>
      <c r="T1656" s="241"/>
      <c r="U1656" s="241"/>
      <c r="V1656" s="241"/>
      <c r="W1656" s="241"/>
      <c r="X1656" s="241"/>
      <c r="Y1656" s="241"/>
      <c r="Z1656" s="241"/>
    </row>
    <row r="1657" spans="3:26" ht="16.5">
      <c r="C1657" s="101"/>
      <c r="D1657" s="101"/>
      <c r="E1657" s="101"/>
      <c r="F1657" s="101"/>
      <c r="G1657" s="101"/>
      <c r="H1657" s="101"/>
      <c r="I1657" s="101"/>
      <c r="J1657" s="101"/>
      <c r="S1657" s="101"/>
      <c r="T1657" s="241"/>
      <c r="U1657" s="241"/>
      <c r="V1657" s="241"/>
      <c r="W1657" s="241"/>
      <c r="X1657" s="241"/>
      <c r="Y1657" s="241"/>
      <c r="Z1657" s="241"/>
    </row>
    <row r="1658" spans="3:26" ht="16.5">
      <c r="C1658" s="101"/>
      <c r="D1658" s="101"/>
      <c r="E1658" s="101"/>
      <c r="F1658" s="101"/>
      <c r="G1658" s="101"/>
      <c r="H1658" s="101"/>
      <c r="I1658" s="101"/>
      <c r="J1658" s="101"/>
      <c r="S1658" s="101"/>
      <c r="T1658" s="241"/>
      <c r="U1658" s="241"/>
      <c r="V1658" s="241"/>
      <c r="W1658" s="241"/>
      <c r="X1658" s="241"/>
      <c r="Y1658" s="241"/>
      <c r="Z1658" s="241"/>
    </row>
    <row r="1659" spans="3:26" ht="16.5">
      <c r="C1659" s="101"/>
      <c r="D1659" s="101"/>
      <c r="E1659" s="101"/>
      <c r="F1659" s="101"/>
      <c r="G1659" s="101"/>
      <c r="H1659" s="101"/>
      <c r="I1659" s="101"/>
      <c r="J1659" s="101"/>
      <c r="S1659" s="101"/>
      <c r="T1659" s="241"/>
      <c r="U1659" s="241"/>
      <c r="V1659" s="241"/>
      <c r="W1659" s="241"/>
      <c r="X1659" s="241"/>
      <c r="Y1659" s="241"/>
      <c r="Z1659" s="241"/>
    </row>
    <row r="1660" spans="3:26" ht="16.5">
      <c r="C1660" s="101"/>
      <c r="D1660" s="101"/>
      <c r="E1660" s="101"/>
      <c r="F1660" s="101"/>
      <c r="G1660" s="101"/>
      <c r="H1660" s="101"/>
      <c r="I1660" s="101"/>
      <c r="J1660" s="101"/>
      <c r="S1660" s="101"/>
      <c r="T1660" s="241"/>
      <c r="U1660" s="241"/>
      <c r="V1660" s="241"/>
      <c r="W1660" s="241"/>
      <c r="X1660" s="241"/>
      <c r="Y1660" s="241"/>
      <c r="Z1660" s="241"/>
    </row>
    <row r="1661" spans="3:26" ht="16.5">
      <c r="C1661" s="101"/>
      <c r="D1661" s="101"/>
      <c r="E1661" s="101"/>
      <c r="F1661" s="101"/>
      <c r="G1661" s="101"/>
      <c r="H1661" s="101"/>
      <c r="I1661" s="101"/>
      <c r="J1661" s="101"/>
      <c r="S1661" s="101"/>
      <c r="T1661" s="241"/>
      <c r="U1661" s="241"/>
      <c r="V1661" s="241"/>
      <c r="W1661" s="241"/>
      <c r="X1661" s="241"/>
      <c r="Y1661" s="241"/>
      <c r="Z1661" s="241"/>
    </row>
    <row r="1662" spans="3:26" ht="16.5">
      <c r="C1662" s="101"/>
      <c r="D1662" s="101"/>
      <c r="E1662" s="101"/>
      <c r="F1662" s="101"/>
      <c r="G1662" s="101"/>
      <c r="H1662" s="101"/>
      <c r="I1662" s="101"/>
      <c r="J1662" s="101"/>
      <c r="S1662" s="101"/>
      <c r="T1662" s="241"/>
      <c r="U1662" s="241"/>
      <c r="V1662" s="241"/>
      <c r="W1662" s="241"/>
      <c r="X1662" s="241"/>
      <c r="Y1662" s="241"/>
      <c r="Z1662" s="241"/>
    </row>
    <row r="1663" spans="3:26" ht="16.5">
      <c r="C1663" s="101"/>
      <c r="D1663" s="101"/>
      <c r="E1663" s="101"/>
      <c r="F1663" s="101"/>
      <c r="G1663" s="101"/>
      <c r="H1663" s="101"/>
      <c r="I1663" s="101"/>
      <c r="J1663" s="101"/>
      <c r="S1663" s="101"/>
      <c r="T1663" s="241"/>
      <c r="U1663" s="241"/>
      <c r="V1663" s="241"/>
      <c r="W1663" s="241"/>
      <c r="X1663" s="241"/>
      <c r="Y1663" s="241"/>
      <c r="Z1663" s="241"/>
    </row>
    <row r="1664" spans="3:26" ht="16.5">
      <c r="C1664" s="101"/>
      <c r="D1664" s="101"/>
      <c r="E1664" s="101"/>
      <c r="F1664" s="101"/>
      <c r="G1664" s="101"/>
      <c r="H1664" s="101"/>
      <c r="I1664" s="101"/>
      <c r="J1664" s="101"/>
      <c r="S1664" s="101"/>
      <c r="T1664" s="241"/>
      <c r="U1664" s="241"/>
      <c r="V1664" s="241"/>
      <c r="W1664" s="241"/>
      <c r="X1664" s="241"/>
      <c r="Y1664" s="241"/>
      <c r="Z1664" s="241"/>
    </row>
    <row r="1665" spans="3:26" ht="16.5">
      <c r="C1665" s="101"/>
      <c r="D1665" s="101"/>
      <c r="E1665" s="101"/>
      <c r="F1665" s="101"/>
      <c r="G1665" s="101"/>
      <c r="H1665" s="101"/>
      <c r="I1665" s="101"/>
      <c r="J1665" s="101"/>
      <c r="S1665" s="101"/>
      <c r="T1665" s="241"/>
      <c r="U1665" s="241"/>
      <c r="V1665" s="241"/>
      <c r="W1665" s="241"/>
      <c r="X1665" s="241"/>
      <c r="Y1665" s="241"/>
      <c r="Z1665" s="241"/>
    </row>
    <row r="1666" spans="3:26" ht="16.5">
      <c r="C1666" s="101"/>
      <c r="D1666" s="101"/>
      <c r="E1666" s="101"/>
      <c r="F1666" s="101"/>
      <c r="G1666" s="101"/>
      <c r="H1666" s="101"/>
      <c r="I1666" s="101"/>
      <c r="J1666" s="101"/>
      <c r="S1666" s="101"/>
      <c r="T1666" s="241"/>
      <c r="U1666" s="241"/>
      <c r="V1666" s="241"/>
      <c r="W1666" s="241"/>
      <c r="X1666" s="241"/>
      <c r="Y1666" s="241"/>
      <c r="Z1666" s="241"/>
    </row>
    <row r="1667" spans="3:26" ht="16.5">
      <c r="C1667" s="101"/>
      <c r="D1667" s="101"/>
      <c r="E1667" s="101"/>
      <c r="F1667" s="101"/>
      <c r="G1667" s="101"/>
      <c r="H1667" s="101"/>
      <c r="I1667" s="101"/>
      <c r="J1667" s="101"/>
      <c r="S1667" s="101"/>
      <c r="T1667" s="241"/>
      <c r="U1667" s="241"/>
      <c r="V1667" s="241"/>
      <c r="W1667" s="241"/>
      <c r="X1667" s="241"/>
      <c r="Y1667" s="241"/>
      <c r="Z1667" s="241"/>
    </row>
  </sheetData>
  <sheetProtection/>
  <mergeCells count="3">
    <mergeCell ref="A2:AB2"/>
    <mergeCell ref="C4:L4"/>
    <mergeCell ref="B151:K151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2017-11-23T07:39:21Z</cp:lastPrinted>
  <dcterms:created xsi:type="dcterms:W3CDTF">1996-10-08T23:32:33Z</dcterms:created>
  <dcterms:modified xsi:type="dcterms:W3CDTF">2017-11-23T07:39:26Z</dcterms:modified>
  <cp:category/>
  <cp:version/>
  <cp:contentType/>
  <cp:contentStatus/>
</cp:coreProperties>
</file>