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20" windowHeight="7320" firstSheet="3" activeTab="5"/>
  </bookViews>
  <sheets>
    <sheet name="Доходы РМР 2019-2021" sheetId="1" r:id="rId1"/>
    <sheet name="Расх РМР 2019-2021" sheetId="2" r:id="rId2"/>
    <sheet name="Конс доходы 2019-21 Свод" sheetId="3" r:id="rId3"/>
    <sheet name="Конс расх 2019 Свод" sheetId="4" r:id="rId4"/>
    <sheet name="Конс расх 2020 Свод" sheetId="5" r:id="rId5"/>
    <sheet name="Конс расх 2021 Свод" sheetId="6" r:id="rId6"/>
  </sheets>
  <definedNames>
    <definedName name="_xlnm.Print_Area" localSheetId="0">'Доходы РМР 2019-2021'!$A$1:$T$36</definedName>
  </definedNames>
  <calcPr fullCalcOnLoad="1"/>
</workbook>
</file>

<file path=xl/sharedStrings.xml><?xml version="1.0" encoding="utf-8"?>
<sst xmlns="http://schemas.openxmlformats.org/spreadsheetml/2006/main" count="1322" uniqueCount="363">
  <si>
    <t>01 02 00 00 05 0000 810</t>
  </si>
  <si>
    <t>Общее образование</t>
  </si>
  <si>
    <t>(тыс. рублей)</t>
  </si>
  <si>
    <t>01 02 00 00 05 0000 710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</si>
  <si>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</si>
  <si>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01 03 01 00 05 0000 710</t>
  </si>
  <si>
    <t>Иные межбюджетные трансферты</t>
  </si>
  <si>
    <t>Обслуживание муниципального долга</t>
  </si>
  <si>
    <t>Периодическая печать и издания</t>
  </si>
  <si>
    <t>Дошкольное образование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</si>
  <si>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</si>
  <si>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Охрана семьи и детства</t>
  </si>
  <si>
    <t>Расходы на судебные издержки и исполнение судебных решений</t>
  </si>
  <si>
    <t>Дотации</t>
  </si>
  <si>
    <t>ДОХОДЫ</t>
  </si>
  <si>
    <t>2012 год</t>
  </si>
  <si>
    <t>2015 год</t>
  </si>
  <si>
    <t>10000000000000000</t>
  </si>
  <si>
    <t xml:space="preserve">Налоговые и неналоговые доходы </t>
  </si>
  <si>
    <t>10102000010000100</t>
  </si>
  <si>
    <t>Налог на доходы физических лиц</t>
  </si>
  <si>
    <t>10302100010000110</t>
  </si>
  <si>
    <t>Акцизы (дорожный фонд)</t>
  </si>
  <si>
    <t>10502000000000100</t>
  </si>
  <si>
    <t xml:space="preserve">Единый налог на вмененный доход </t>
  </si>
  <si>
    <t>10503000000000100</t>
  </si>
  <si>
    <t>Сельхоз.налог</t>
  </si>
  <si>
    <t>10601000000000100</t>
  </si>
  <si>
    <t>Налог на имущество физ. лиц</t>
  </si>
  <si>
    <t>10604000000000100</t>
  </si>
  <si>
    <t>Транспортный налог</t>
  </si>
  <si>
    <t>10606000000000100</t>
  </si>
  <si>
    <t>Земельный налог</t>
  </si>
  <si>
    <t>10800000000000100</t>
  </si>
  <si>
    <t>Госпошлина</t>
  </si>
  <si>
    <t>11105010000000100</t>
  </si>
  <si>
    <t>Арендная плата за земли</t>
  </si>
  <si>
    <t>11105030000000100</t>
  </si>
  <si>
    <t>Аренда имущества и найм</t>
  </si>
  <si>
    <t>11201000010000100</t>
  </si>
  <si>
    <t>Плата за негативное воздействие на окружающую среду</t>
  </si>
  <si>
    <t>11303050050000100</t>
  </si>
  <si>
    <t>Доходы от предпринимательской деятельности</t>
  </si>
  <si>
    <t>11402000000000400</t>
  </si>
  <si>
    <t>Доходы от реализации имущества</t>
  </si>
  <si>
    <t>11600000000000000</t>
  </si>
  <si>
    <t>11600000000000100</t>
  </si>
  <si>
    <t>Штрафы от УВД</t>
  </si>
  <si>
    <t>20000000000000000</t>
  </si>
  <si>
    <t>БЕЗВОЗМЕЗДНЫЕ ПЕРЕЧИСЛЕНИЯ, в том числе:</t>
  </si>
  <si>
    <t>х</t>
  </si>
  <si>
    <t>Субсидии</t>
  </si>
  <si>
    <t xml:space="preserve">Субвенции </t>
  </si>
  <si>
    <t>в том числе на выполнение переданных полномочий в соответствии с заключенными соглашениями</t>
  </si>
  <si>
    <t>ИТОГО ДОХОДОВ</t>
  </si>
  <si>
    <t>в том числе собственные доходы</t>
  </si>
  <si>
    <t>Внутренние обороты</t>
  </si>
  <si>
    <t>ВСЕГО ДОХОДОВ БЕЗ ВНУТРЕННИХ ОБОРОТОВ</t>
  </si>
  <si>
    <t>РАСХОДЫ</t>
  </si>
  <si>
    <t>0100</t>
  </si>
  <si>
    <t>ОБЩЕГОСУДАРСТВЕННЫЕ ВОПРОСЫ</t>
  </si>
  <si>
    <t>0102</t>
  </si>
  <si>
    <t>0103</t>
  </si>
  <si>
    <t>Районное Собрание</t>
  </si>
  <si>
    <t>0104</t>
  </si>
  <si>
    <t xml:space="preserve">Передаваемые полномочия </t>
  </si>
  <si>
    <t>глава администрации Ртищевского МР</t>
  </si>
  <si>
    <t>0106</t>
  </si>
  <si>
    <t>Финансовое управление администрации Ртищевского муниципального района</t>
  </si>
  <si>
    <t>Передаваемые полномочия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</si>
  <si>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</si>
  <si>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</si>
  <si>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</si>
  <si>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</si>
  <si>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</si>
  <si>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- налоги</t>
  </si>
  <si>
    <t>Исполнение полномочий, переданных из бюджета МО г.Ртищево, в соответствии с заключенными соглашениями по созданию, содержанию и организации деятельности ЕДДС</t>
  </si>
  <si>
    <t xml:space="preserve">- исполнение полномочий, переданных из бюджетов поселений, в соответствии с заключенными соглашениями на инвентаризацию </t>
  </si>
  <si>
    <t>0200</t>
  </si>
  <si>
    <t>НАЦИОНАЛЬНАЯ ОБОРОНА</t>
  </si>
  <si>
    <t>0203</t>
  </si>
  <si>
    <t>Мобилизационная и вневойсковая подготовка - ВОИНСКИЙ УЧЕТ</t>
  </si>
  <si>
    <t>0300</t>
  </si>
  <si>
    <t>0314</t>
  </si>
  <si>
    <t>в том числе :</t>
  </si>
  <si>
    <t>МЦП "По усилению борьбы с преступностью и охране правопорядка на территории Ртищевского района"</t>
  </si>
  <si>
    <t>МЦП "Профилактика терроризма и экстремизма в Ртищевском районе "</t>
  </si>
  <si>
    <t>Исполнение полномочий , переданных из бюджета МО г.Ртищево, в соответствии с заключенными соглашениями по созданию условий для деятельности добровольных формирований населения по охране общественного порядка                         ( на реализацию МЦП "Профилактика правонарушений в Ртищевском районе ")</t>
  </si>
  <si>
    <t>Исполнение полномочий, переданных из бюджета МО г.Ртищево, в соответствии с заключенными соглашениями на реализацию МЦП "Повышение безопасности дорожного движения в Ртищевском районе"</t>
  </si>
  <si>
    <t>0310</t>
  </si>
  <si>
    <t>Пожарная безопасность</t>
  </si>
  <si>
    <t>Муниципальные программы</t>
  </si>
  <si>
    <t>0400</t>
  </si>
  <si>
    <t>НАЦИОНАЛЬНАЯ ЭКОНОМИКА</t>
  </si>
  <si>
    <t>0409</t>
  </si>
  <si>
    <t>0412</t>
  </si>
  <si>
    <t>0500</t>
  </si>
  <si>
    <t>ЖИЛИЩНО-КОММУНАЛЬНОЕ ХОЗЯЙСТВО</t>
  </si>
  <si>
    <t>0501</t>
  </si>
  <si>
    <t>Жилищное хозяйство, в том числе:</t>
  </si>
  <si>
    <t>0502</t>
  </si>
  <si>
    <t xml:space="preserve">Исполнение полномочий, переданных из бюджета МО г.Ртищево, в соответствии с заключенными соглашениями на организацию водоснабжения в границах поселений </t>
  </si>
  <si>
    <t xml:space="preserve">Исполнение полномочий, переданных из бюджетов поселений, в соответствии с заключенными соглашениями на организацию водоснабжения в границах поселений </t>
  </si>
  <si>
    <t>0503</t>
  </si>
  <si>
    <t>Благоустройство, в т.ч.</t>
  </si>
  <si>
    <t>Исполнение полномочий, переданных из бюджета МО г.Ртищево, в соответствии с заключенными соглашениями на освещение улиц</t>
  </si>
  <si>
    <t>озеленение</t>
  </si>
  <si>
    <t>содержание мест захоронений</t>
  </si>
  <si>
    <t>прочие расходы по благоустройству</t>
  </si>
  <si>
    <t>Исполнение полномочий, переданных из бюджета МО г.Ртищево, в соответствии с заключенными соглашениями  на прочее благоустройство</t>
  </si>
  <si>
    <t>Исполнение полномочий, переданных из бюджета МО г.Ртищево, в соответствии с заключенными соглашениями  на организацию благоустройства территории (на реализацию МЦП  "Комплексное благоустройство")</t>
  </si>
  <si>
    <t>0600</t>
  </si>
  <si>
    <t>ОХРАНА ОКРУЖАЮЩЕЙ СРЕДЫ</t>
  </si>
  <si>
    <t>0605</t>
  </si>
  <si>
    <t>Другие вопросы в области охраны окружающей среды- Муниципальные программы</t>
  </si>
  <si>
    <t>0700</t>
  </si>
  <si>
    <t xml:space="preserve">Управление образования администрации РМР </t>
  </si>
  <si>
    <t>зарплата и начисления на оплату труда</t>
  </si>
  <si>
    <t>налог на имущество</t>
  </si>
  <si>
    <t>транспортный налог</t>
  </si>
  <si>
    <t>0701</t>
  </si>
  <si>
    <t>0702</t>
  </si>
  <si>
    <t>в том числе:</t>
  </si>
  <si>
    <t xml:space="preserve">ДЮСШ 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</si>
  <si>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ДЮСШ) </t>
  </si>
  <si>
    <t>0705</t>
  </si>
  <si>
    <t>Курсы</t>
  </si>
  <si>
    <t>Управление общего образования</t>
  </si>
  <si>
    <t>ММУ "ЦРБ"</t>
  </si>
  <si>
    <t>0707</t>
  </si>
  <si>
    <t>Обеспечение деятельности подведомственных учреждений (ДОЛ "Ясный")</t>
  </si>
  <si>
    <t>0709</t>
  </si>
  <si>
    <t>Центральный аппарат</t>
  </si>
  <si>
    <t xml:space="preserve">Учебно-методические кабинеты, централизованные бухгалтерии, хозяйственные группы </t>
  </si>
  <si>
    <t>МЦП "Развитие дошкольного образования Ртищевского муниципального района" (строит-во детсада по ул.Октябрьской в г.Ртищево)</t>
  </si>
  <si>
    <t>0800</t>
  </si>
  <si>
    <t>0801</t>
  </si>
  <si>
    <t>- подписка</t>
  </si>
  <si>
    <t>0804</t>
  </si>
  <si>
    <t xml:space="preserve">Центральный аппарат 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</si>
  <si>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</si>
  <si>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</si>
  <si>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</si>
  <si>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</si>
  <si>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</si>
  <si>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 (в том числе 2000,0 т.р. средства местного бюджета на прочие расходы)</t>
  </si>
  <si>
    <t>0904</t>
  </si>
  <si>
    <t>Скорая медицинская помощь (в том числе 2000,0 т.р.  средства местного бюджета  на гсм)</t>
  </si>
  <si>
    <t>0909</t>
  </si>
  <si>
    <t>Другие вопросы в области здравоохранения и спорта</t>
  </si>
  <si>
    <t>налогов не ставили</t>
  </si>
  <si>
    <t>1000</t>
  </si>
  <si>
    <t>СОЦИАЛЬНАЯ ПОЛИТИКА</t>
  </si>
  <si>
    <t>1001</t>
  </si>
  <si>
    <t>1003</t>
  </si>
  <si>
    <t xml:space="preserve"> - доплата работникам д/садов</t>
  </si>
  <si>
    <t>1004</t>
  </si>
  <si>
    <t>1100</t>
  </si>
  <si>
    <t>ФИЗИЧЕСКАЯ КУЛЬТУРА И СПОРТ</t>
  </si>
  <si>
    <t>1101</t>
  </si>
  <si>
    <t xml:space="preserve">Физическая культура, в т.ч.: </t>
  </si>
  <si>
    <t>Налоги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</si>
  <si>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МСК "Локомотив" с учетом налогов 2000,1 тыс.руб.) </t>
  </si>
  <si>
    <t>1105</t>
  </si>
  <si>
    <t>Другие вопросы в области физкультуры и спорта, в том числе:</t>
  </si>
  <si>
    <t>1200</t>
  </si>
  <si>
    <t>СРЕДСТВА МАССОВОЙ ИНФОРМАЦИИ</t>
  </si>
  <si>
    <t>1202</t>
  </si>
  <si>
    <t>1300</t>
  </si>
  <si>
    <t>ОБСЛУЖИВАНИЕ МУНИЦИПАЛЬНОГО ДОЛГА</t>
  </si>
  <si>
    <t>1301</t>
  </si>
  <si>
    <t>1400</t>
  </si>
  <si>
    <t>1401</t>
  </si>
  <si>
    <t>Дотации на выравнивание бюджетной обеспеченности поселений, из них :</t>
  </si>
  <si>
    <t>Дотации на выравнивание бюджетной обеспеченности поселений из фонда финансовой поддержки Ртищевского района</t>
  </si>
  <si>
    <t>Дотации на выравнивание бюджетной обеспеченности поселений за счет субвенции из областного фонда компенсаций</t>
  </si>
  <si>
    <t>1403</t>
  </si>
  <si>
    <t>в том числе внутренние обороты:</t>
  </si>
  <si>
    <t>ВСЕГО РАСХОДОВ БЕЗ ВНУТРЕННИХ ОБОРОТОВ</t>
  </si>
  <si>
    <t>РЕЗУЛЬТАТ ИСПОЛНЕНИЯ (ПРОФИЦИТ+, Дефицит-)</t>
  </si>
  <si>
    <t>ИСТОЧНИКИ ВНУТРЕННЕГО ФИНАНСИРОВАНИЯ ДЕФИЦИТА БЮДЖЕТА, ВСЕГО:</t>
  </si>
  <si>
    <t>Получение кредитов от кредитных организаций в валюте Российской Федерации</t>
  </si>
  <si>
    <t>Погашение кредитов, полученных от кредитных организаций в валюте Российской Федерации</t>
  </si>
  <si>
    <t>01 03 01 00 00 0000 810</t>
  </si>
  <si>
    <t>Изменение остатков средств бюджета</t>
  </si>
  <si>
    <t>2016 год</t>
  </si>
  <si>
    <t>Штрафы, санкции, возмещение ущерба, из них:</t>
  </si>
  <si>
    <t>субсидия из областного бюджета на проектирование и строительство автомобильных дорог общего пользования</t>
  </si>
  <si>
    <t>налог на имущество и транспортный налог</t>
  </si>
  <si>
    <t>Бюджет Муниципального района,    сумма</t>
  </si>
  <si>
    <t>Код по бюджетной классификации</t>
  </si>
  <si>
    <t>20215000000000151</t>
  </si>
  <si>
    <t>20220000000000151</t>
  </si>
  <si>
    <t>20230000000000151</t>
  </si>
  <si>
    <t>20240000000000151</t>
  </si>
  <si>
    <t>0405</t>
  </si>
  <si>
    <t>Субвенция из областного бюджета на проведение мероприятий по отлову и содержанию безнадзорных животных</t>
  </si>
  <si>
    <t>Капитальный ремонт, ремонт и содержание автомобильных дорог общего пользования местного значения за счет средств местного бюджета (Софинансирование)</t>
  </si>
  <si>
    <t>Код</t>
  </si>
  <si>
    <t>Муниципальный район, сумма</t>
  </si>
  <si>
    <t>Свод поселений, сумма</t>
  </si>
  <si>
    <t>Консолидированный бюджет, сумма</t>
  </si>
  <si>
    <t>Налоговые и неналоговые доходы, в в том числе:</t>
  </si>
  <si>
    <t>Штрафы, санкции, возмещение ущерба, в т.ч.:</t>
  </si>
  <si>
    <t>20210000000000151</t>
  </si>
  <si>
    <t>Иные межбюджетные трансферты, в том числе :</t>
  </si>
  <si>
    <t>- из областного и федерального бюджета (на комплектование книжных фондов библиотек и оцифровку)</t>
  </si>
  <si>
    <t>- из бюджетов поселений на исполнение переданных полномочий в соответствии с заключенными соглашениями</t>
  </si>
  <si>
    <t>Мо г.Ртищево</t>
  </si>
  <si>
    <t>Краснозвезд. МО</t>
  </si>
  <si>
    <t>Макаров.МО</t>
  </si>
  <si>
    <t>Октяб.МО</t>
  </si>
  <si>
    <t>Салтык.МО</t>
  </si>
  <si>
    <t>Урус.МО</t>
  </si>
  <si>
    <t>Шило-Голиц.МО</t>
  </si>
  <si>
    <t>Консолидированный бюджет, сумма  *</t>
  </si>
  <si>
    <t>Оплата за газ для поддержания вечного огня</t>
  </si>
  <si>
    <t>ОБРАЗОВАНИЕ</t>
  </si>
  <si>
    <t>2018 год</t>
  </si>
  <si>
    <t>2019 год</t>
  </si>
  <si>
    <t>2020 год</t>
  </si>
  <si>
    <t>Удельный вес в общей сумме доходов 2019 года, %</t>
  </si>
  <si>
    <t>Удельный вес в общей сумме доходов 2020 года, %</t>
  </si>
  <si>
    <t>Уд. вес в налоговых и неналоговых доходах района 2019 года, %</t>
  </si>
  <si>
    <t>Уд. вес в налоговых и неналоговых доходах района 2020 года, %</t>
  </si>
  <si>
    <t xml:space="preserve">Удельный вес в
общей сумме
расходов, на 2018 год, %
</t>
  </si>
  <si>
    <t>Динамика  2018 года к 2017 году,  %</t>
  </si>
  <si>
    <t xml:space="preserve">Отклонение 2018 года от 2017 год, тыс. рублей
</t>
  </si>
  <si>
    <t xml:space="preserve">Удельный вес в
общей сумме
расходов, на 2019 год, %
</t>
  </si>
  <si>
    <t>Динамика  2019 года к 2018 году,  %</t>
  </si>
  <si>
    <t xml:space="preserve">Отклонение 2019 года от 2018 год, тыс. рублей
</t>
  </si>
  <si>
    <t xml:space="preserve">Удельный вес в
общей сумме
расходов, на 2020 год, %
</t>
  </si>
  <si>
    <t>Динамика  2020 года к 2019 году,  %</t>
  </si>
  <si>
    <t xml:space="preserve">Отклонение 2020 года от 2019 год, тыс. рублей
</t>
  </si>
  <si>
    <t>Выполнение других обязательств муниципального образования</t>
  </si>
  <si>
    <t>Мероприятия в сфере управления имуществом муниципального образования</t>
  </si>
  <si>
    <t>0703</t>
  </si>
  <si>
    <t>9=4-3</t>
  </si>
  <si>
    <t>12=5-4</t>
  </si>
  <si>
    <t>15=6-5</t>
  </si>
  <si>
    <t>Отклонения 2020 года от 2019 года, тыс.руб.</t>
  </si>
  <si>
    <t>13=5-4</t>
  </si>
  <si>
    <t>18=6-5</t>
  </si>
  <si>
    <t>10=(4/3)*100%</t>
  </si>
  <si>
    <t>14=(5/4)*100%</t>
  </si>
  <si>
    <t>17=(6/5)*100%</t>
  </si>
  <si>
    <t>8=(4/3)*100%</t>
  </si>
  <si>
    <t>11=(5/4)*100%</t>
  </si>
  <si>
    <t>14+(6/5)*100%</t>
  </si>
  <si>
    <t>Функционирование высшего должностного лица муниципального образования</t>
  </si>
  <si>
    <t>Функционирование местной администрации</t>
  </si>
  <si>
    <t>Финансовые органы и органы финансово - бюджетного надзора, в том числе:</t>
  </si>
  <si>
    <t>Контрольно-счетный орган администрации Ртищевского муниципального района</t>
  </si>
  <si>
    <t>Муниципальное учреждение "Административно-хозяйственная группа администрации Ртищевского муниципального района", из них:</t>
  </si>
  <si>
    <t>Муниципальное учреждение "Централизованная бухгалтерия администрации Ртищевского муниципального района"</t>
  </si>
  <si>
    <t>Уплата членских взносов в Ассоциацию "Совет муниципальных образований Саратовской области"</t>
  </si>
  <si>
    <t>Оценка недвижимости, признание прав и регулирование отношений по муниципальной собственности</t>
  </si>
  <si>
    <t>НАЦИОНАЛЬНАЯ БЕЗОПАСНОСТЬ И ПРАВООХРАНИТЕЛЬНАЯ ДЕЯТЕЛЬНОСТЬ</t>
  </si>
  <si>
    <t>Сельское хозяйство и рыболовство, в том числе: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</si>
  <si>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"Градостроительное планирование развития территорий поселений Ртищевского муниципального района на 2014 - 2020 годы"</t>
  </si>
  <si>
    <t>Капитальный ремонт муниципального жилищного фонда</t>
  </si>
  <si>
    <t>Коммунальное хозяйство, в том числе: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</si>
  <si>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"Модернизация коммунальной инфраструктуры Ртищевского муниципального района ", из них:</t>
  </si>
  <si>
    <t>Дополнительное образование детей, в том числе:</t>
  </si>
  <si>
    <t>Молодежная политика и оздоровление детей,в том числе:</t>
  </si>
  <si>
    <t>Реализация мероприятий муниципальной программы "Развитие системы образования на территории Ртищевского муниципального района на 2018 - 2020 годы"</t>
  </si>
  <si>
    <t>Культура, в том числе :</t>
  </si>
  <si>
    <t>Пенсионное обеспечение (доплаты к пенсиям муниципальных служащих)</t>
  </si>
  <si>
    <t xml:space="preserve"> Муниципальная программа "Обеспечение населения доступным жильем и развитие жилищно-коммунальной инфраструктуры на 2014-2020 годы" Подпрограмма "Обеспечение жилыми помещениями молодых семей"</t>
  </si>
  <si>
    <t>МЕЖБЮДЖЕТНЫЕ ТРАНСФЕРТЫ ОБЩЕГО ХАРАКТЕРА БЮДЖЕТАМ СУБЪЕКТОВ РОССИЙСКОЙ ФЕДЕРАЦИИ И МУНИЦИПАЛЬНЫХ ОБРАЗОВАНИЙ</t>
  </si>
  <si>
    <t>Мероприятия по землеустройству и землепользованию</t>
  </si>
  <si>
    <t>Распределение  расходов консолидированного бюджета Ртищевского муниципального района на 2020 год</t>
  </si>
  <si>
    <t>Распределение  расходов консолидированного бюджета Ртищевского муниципального района на 2019 год</t>
  </si>
  <si>
    <t>Распределение  доходов консолидированного бюджета Ртищевского муниципального района на 2018 год</t>
  </si>
  <si>
    <t>Налог, взимаемый в связи с применением патентной системы налогообложения</t>
  </si>
  <si>
    <t>2021 год</t>
  </si>
  <si>
    <t>Распределение  доходов  бюджета Ртищевского муниципального района на 2019 год и на плановый период 2020 и 2021 годов</t>
  </si>
  <si>
    <t>Отклонения   2019 года от  2018 года, тыс.руб.</t>
  </si>
  <si>
    <t>Удельный вес в общей сумме доходов 2021 года, %</t>
  </si>
  <si>
    <t>Уд. вес в налоговых и неналоговых доходах района 2021 года, %</t>
  </si>
  <si>
    <t>Динамика  2021 года к 2020 году,  %</t>
  </si>
  <si>
    <t>Отклонения 2021 года от 2020 года, тыс.руб.</t>
  </si>
  <si>
    <t>Распределение  расходов  бюджета Ртищевского муниципального района на 2019 год и на плановый период 2020 и 2021 годов</t>
  </si>
  <si>
    <t>Бюджет Муниципального района,    сумма, тыс. рублей</t>
  </si>
  <si>
    <t>Другие общегосударственные вопросы, в том числе:</t>
  </si>
  <si>
    <t xml:space="preserve">Отдел по управлению имуществом администрации Ртищевского муниципального района, из них:                                                                 </t>
  </si>
  <si>
    <t>- содержание отдела субсидий за счет средств областного бюджета</t>
  </si>
  <si>
    <t>Другие вопросы в области национальной безопасности и правоохранительной деятельности, в том числе: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</si>
  <si>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 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  (дорожные знаки и разметка)</t>
  </si>
  <si>
    <t>0408</t>
  </si>
  <si>
    <t>Транспорт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</si>
  <si>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</si>
  <si>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Дорожное хозяйство, в том числе:</t>
  </si>
  <si>
    <t>Обустройство улично-дорожной сети дорожными знаками</t>
  </si>
  <si>
    <t>Нанесение пешеходной дорожной разметки на улично-дорожную сеть</t>
  </si>
  <si>
    <t>Субсидия из областного бюджета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</si>
  <si>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 xml:space="preserve"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</t>
  </si>
  <si>
    <t>Ремонт асфальтобетонного покрытия улиц в границах сельских населенных пунктов</t>
  </si>
  <si>
    <t>Летнее содержание</t>
  </si>
  <si>
    <t>Зимнее содержание</t>
  </si>
  <si>
    <t>Изготовление сметной документации, технический контроль</t>
  </si>
  <si>
    <t>Другие вопросы в области нац.экономики, в том числе:</t>
  </si>
  <si>
    <t>Предоставление грантов начинающим субъектам малого предпринимательства на создание собственного бизнеса</t>
  </si>
  <si>
    <t>Подготовка (актуализация) генерального плана Урусовского МО</t>
  </si>
  <si>
    <t>Техническое обслуживание систем газораспределения и газопотребления</t>
  </si>
  <si>
    <t>Общее образование,в том числе:</t>
  </si>
  <si>
    <t>Управление общего образования, из них:</t>
  </si>
  <si>
    <t>Учреждения дополнительного образования детей управления общего образования</t>
  </si>
  <si>
    <t>ДШИ</t>
  </si>
  <si>
    <t>Оплата стоимости путевок в загородные стационарные детские оздоровительные лагеря</t>
  </si>
  <si>
    <t>Осуществление подвоза детей к месту отдыха (МУ ДОЛ «Ясный»)</t>
  </si>
  <si>
    <t>Организация питания в оздоровительных лагерях с дневным пребыванием при муниципальных общеобразовательных организациях</t>
  </si>
  <si>
    <t>Обеспечение временной трудовой занятости подростков 
общеобразовательных организаций в летний период</t>
  </si>
  <si>
    <t>Подготовка МУ ДОЛ «Ясный» с. Потьма Ртищевского района  к летнему оздоровительному сезону</t>
  </si>
  <si>
    <t>Другие вопросы в области образования,в том числе:</t>
  </si>
  <si>
    <t xml:space="preserve">КУЛЬТУРА, КИНЕМАТОГРАФИЯ </t>
  </si>
  <si>
    <t>Развитие библиотечной системы и культурно – досуговая  деятельность</t>
  </si>
  <si>
    <t>Другие вопросы в области культуры,в том числе:</t>
  </si>
  <si>
    <t xml:space="preserve">Реализация мероприятий муниципальной программы «Культура Ртищевского муниципального района на 2017 – 2020 годы»
</t>
  </si>
  <si>
    <t>Социальное обеспечение населения, в том числе:</t>
  </si>
  <si>
    <t xml:space="preserve"> Субсидии гражданам на оплату жилого помещения и коммунальных услуг  </t>
  </si>
  <si>
    <t xml:space="preserve">  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</si>
  <si>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Меры социальной поддержки почетных граждан</t>
  </si>
  <si>
    <t>ВСЕГО РАСХОДОВ</t>
  </si>
  <si>
    <t xml:space="preserve"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годы". Приобретение и установка камер уличного видеонаблюдения 
</t>
  </si>
  <si>
    <t xml:space="preserve"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годы". Реализация комплексных мер по стимулированию участия населения в деятельности общественной организации «Народная дружина»
</t>
  </si>
  <si>
    <t xml:space="preserve"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годы". Создание и распространение антинаркотических буклетов, листовок и проспектов
</t>
  </si>
  <si>
    <t>Муниципальная программа  "Развитие транспортной системы в Ртищевском муниципальном районе на 2017-2020 годы" 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  (дорожные знаки и разметка)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</si>
  <si>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</si>
  <si>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</si>
  <si>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Капитальный ремонт разводящей водопроводной сети, расположенной по адресу: Саратовская область, г. Ртищево</t>
  </si>
  <si>
    <t>Строительство объекта: "Канализационно - очистные сооружения в г. Ртищево Саратовской области"</t>
  </si>
  <si>
    <t>Формовочная обрезка деревьев</t>
  </si>
  <si>
    <t>Удаление, спил сухостойных и аварийных  деревьев</t>
  </si>
  <si>
    <t>Ликвидация несанкционированных свалок</t>
  </si>
  <si>
    <t>Приобретение специализированной техники</t>
  </si>
  <si>
    <t>Основное мероприятие "Установка стелы «Я люблю город Ртищево»"</t>
  </si>
  <si>
    <t>Установка стелы «Я люблю город Ртищево»</t>
  </si>
  <si>
    <t xml:space="preserve">Изготовление баннеров (растяжек) </t>
  </si>
  <si>
    <t>Поставка электроэнергии для работы уличного освещения</t>
  </si>
  <si>
    <t>Основное мероприятие "Расчеты с ГАУ Агентство по повышению энергоэффективности Саратовской области"</t>
  </si>
  <si>
    <t>Расчеты с ГАУ Агентство по повышению энергоэффективности Саратовской области</t>
  </si>
  <si>
    <t>Уменьшение численности безнадзорных животных</t>
  </si>
  <si>
    <t>Уборка территорий в зонах отдыха</t>
  </si>
  <si>
    <t>Окашивание территории населенных пунктов (окос пустырей)</t>
  </si>
  <si>
    <t>Прочие мероприятия по уличному освещению</t>
  </si>
  <si>
    <t>Предоставление субсидий муниципальному  автономному учреждению "Спортивная школа"</t>
  </si>
  <si>
    <t>Муниципальная  программа "Развитие физической культуры и спорта в Ртищевском муниципальном районе на 2017-2019 годы" в том числе:</t>
  </si>
  <si>
    <t>Благоустройство, в том числе:</t>
  </si>
  <si>
    <t xml:space="preserve">Развитие малого и среднего предпринимательства </t>
  </si>
  <si>
    <t>Иные мероприятия в области управления муниципальным имуществом</t>
  </si>
  <si>
    <t>Распределение  расходов консолидированного бюджета Ртищевского муниципального района на 2021 год</t>
  </si>
  <si>
    <t>Капитальный ремонт водозаборной скважины, расположенной по адресу: Саратовская область, г.Ртищево, ул.Степная</t>
  </si>
  <si>
    <t xml:space="preserve">Приобретение и посадка цветочной рассады </t>
  </si>
  <si>
    <t>Уборка и содержание территории кладбищ муниципального образования</t>
  </si>
  <si>
    <t>Уборка и содержание территорий населенных пунктов муниципального образования</t>
  </si>
  <si>
    <t>Улучшение эстетического и архитектурного вида городского парка культуры и отдыха</t>
  </si>
  <si>
    <t>Выполнение работ по обслуживанию уличного освещения</t>
  </si>
  <si>
    <t>Ремонт и содержание стелл, мемориалов,  обелисков и памятников и благоустройство прилегающей к ним территории</t>
  </si>
  <si>
    <t>Обустройство детских площадок</t>
  </si>
  <si>
    <t>Обустройство спортивных площадок</t>
  </si>
  <si>
    <t>Проведение конкурсов по благоустройству</t>
  </si>
  <si>
    <t>Прочие мероприятия по благоустройству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</si>
</sst>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00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00_);_(* \(#,##0.000\);_(* &quot;-&quot;??_);_(@_)"/>
    <numFmt numFmtId="180" formatCode="_(* #,##0.0_);_(* \(#,##0.0\);_(* &quot;-&quot;??_);_(@_)"/>
    <numFmt numFmtId="181" formatCode="_-* #,##0.0_р_._-;\-* #,##0.0_р_._-;_-* &quot;-&quot;?_р_._-;_-@_-"/>
    <numFmt numFmtId="182" formatCode="0.0"/>
    <numFmt numFmtId="183" formatCode="0.0%"/>
    <numFmt numFmtId="184" formatCode="_(* #,##0_);_(* \(#,##0\);_(* &quot;-&quot;??_);_(@_)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_ ;\-#,##0.00\ "/>
    <numFmt numFmtId="193" formatCode="#,##0.00;[Red]\-#,##0.00;0.00"/>
    <numFmt numFmtId="194" formatCode="00\.00\.00"/>
    <numFmt numFmtId="195" formatCode="000"/>
    <numFmt numFmtId="196" formatCode="0000000"/>
    <numFmt numFmtId="197" formatCode="#,##0.00_ ;[Red]\-#,##0.00\ "/>
    <numFmt numFmtId="198" formatCode="000000000"/>
    <numFmt numFmtId="199" formatCode="#,##0.000"/>
    <numFmt numFmtId="200" formatCode="#,##0.000_ ;\-#,##0.000\ "/>
  </numFmts>
  <fonts count="6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72" fontId="5" fillId="0" borderId="10" xfId="73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8" fillId="0" borderId="10" xfId="73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10" fillId="0" borderId="10" xfId="73" applyNumberFormat="1" applyFont="1" applyFill="1" applyBorder="1" applyAlignment="1">
      <alignment horizontal="right" vertical="top" wrapText="1"/>
    </xf>
    <xf numFmtId="172" fontId="10" fillId="0" borderId="0" xfId="0" applyNumberFormat="1" applyFont="1" applyFill="1" applyAlignment="1">
      <alignment vertical="top" wrapText="1"/>
    </xf>
    <xf numFmtId="172" fontId="10" fillId="0" borderId="10" xfId="73" applyNumberFormat="1" applyFont="1" applyFill="1" applyBorder="1" applyAlignment="1">
      <alignment horizontal="right" wrapText="1"/>
    </xf>
    <xf numFmtId="180" fontId="5" fillId="0" borderId="0" xfId="0" applyNumberFormat="1" applyFont="1" applyFill="1" applyBorder="1" applyAlignment="1">
      <alignment horizontal="right" vertical="top" wrapText="1"/>
    </xf>
    <xf numFmtId="180" fontId="5" fillId="0" borderId="0" xfId="0" applyNumberFormat="1" applyFont="1" applyFill="1" applyAlignment="1">
      <alignment horizontal="right" vertical="top" wrapText="1"/>
    </xf>
    <xf numFmtId="0" fontId="9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top" wrapText="1"/>
    </xf>
    <xf numFmtId="172" fontId="6" fillId="4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2" fontId="6" fillId="1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top" wrapText="1"/>
    </xf>
    <xf numFmtId="172" fontId="7" fillId="0" borderId="0" xfId="0" applyNumberFormat="1" applyFont="1" applyFill="1" applyAlignment="1">
      <alignment horizontal="left" vertical="top" wrapText="1"/>
    </xf>
    <xf numFmtId="172" fontId="7" fillId="0" borderId="0" xfId="0" applyNumberFormat="1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72" fontId="8" fillId="33" borderId="10" xfId="73" applyNumberFormat="1" applyFont="1" applyFill="1" applyBorder="1" applyAlignment="1">
      <alignment vertical="top" wrapText="1"/>
    </xf>
    <xf numFmtId="172" fontId="10" fillId="33" borderId="10" xfId="73" applyNumberFormat="1" applyFont="1" applyFill="1" applyBorder="1" applyAlignment="1">
      <alignment horizontal="right" vertical="top" wrapText="1"/>
    </xf>
    <xf numFmtId="172" fontId="5" fillId="33" borderId="10" xfId="73" applyNumberFormat="1" applyFont="1" applyFill="1" applyBorder="1" applyAlignment="1">
      <alignment horizontal="right" wrapText="1"/>
    </xf>
    <xf numFmtId="172" fontId="11" fillId="0" borderId="10" xfId="73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vertical="center" wrapText="1"/>
    </xf>
    <xf numFmtId="172" fontId="8" fillId="0" borderId="10" xfId="73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2" fontId="8" fillId="33" borderId="10" xfId="73" applyNumberFormat="1" applyFont="1" applyFill="1" applyBorder="1" applyAlignment="1">
      <alignment horizontal="right" vertical="top" wrapText="1"/>
    </xf>
    <xf numFmtId="172" fontId="5" fillId="0" borderId="10" xfId="73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172" fontId="10" fillId="0" borderId="10" xfId="73" applyNumberFormat="1" applyFont="1" applyFill="1" applyBorder="1" applyAlignment="1">
      <alignment vertical="top" wrapText="1"/>
    </xf>
    <xf numFmtId="172" fontId="11" fillId="0" borderId="10" xfId="73" applyNumberFormat="1" applyFont="1" applyFill="1" applyBorder="1" applyAlignment="1">
      <alignment horizontal="left" vertical="top" wrapText="1"/>
    </xf>
    <xf numFmtId="182" fontId="11" fillId="0" borderId="1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172" fontId="5" fillId="33" borderId="10" xfId="73" applyNumberFormat="1" applyFont="1" applyFill="1" applyBorder="1" applyAlignment="1">
      <alignment horizontal="left" vertical="top" wrapText="1"/>
    </xf>
    <xf numFmtId="183" fontId="5" fillId="33" borderId="10" xfId="73" applyNumberFormat="1" applyFont="1" applyFill="1" applyBorder="1" applyAlignment="1">
      <alignment horizontal="left" vertical="top" wrapText="1"/>
    </xf>
    <xf numFmtId="183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top" wrapText="1"/>
    </xf>
    <xf numFmtId="172" fontId="11" fillId="0" borderId="13" xfId="0" applyNumberFormat="1" applyFont="1" applyFill="1" applyBorder="1" applyAlignment="1">
      <alignment horizontal="left" vertical="top" wrapText="1"/>
    </xf>
    <xf numFmtId="183" fontId="11" fillId="0" borderId="10" xfId="73" applyNumberFormat="1" applyFont="1" applyFill="1" applyBorder="1" applyAlignment="1">
      <alignment horizontal="left" vertical="top" wrapText="1"/>
    </xf>
    <xf numFmtId="183" fontId="11" fillId="0" borderId="10" xfId="0" applyNumberFormat="1" applyFont="1" applyFill="1" applyBorder="1" applyAlignment="1">
      <alignment horizontal="left" vertical="top" wrapText="1"/>
    </xf>
    <xf numFmtId="172" fontId="11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172" fontId="11" fillId="0" borderId="13" xfId="0" applyNumberFormat="1" applyFont="1" applyFill="1" applyBorder="1" applyAlignment="1">
      <alignment horizontal="left" wrapText="1"/>
    </xf>
    <xf numFmtId="183" fontId="5" fillId="0" borderId="10" xfId="73" applyNumberFormat="1" applyFont="1" applyFill="1" applyBorder="1" applyAlignment="1">
      <alignment horizontal="left" vertical="top" wrapText="1"/>
    </xf>
    <xf numFmtId="18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172" fontId="10" fillId="0" borderId="0" xfId="0" applyNumberFormat="1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2" fontId="8" fillId="0" borderId="14" xfId="0" applyNumberFormat="1" applyFont="1" applyFill="1" applyBorder="1" applyAlignment="1">
      <alignment horizontal="center" shrinkToFit="1"/>
    </xf>
    <xf numFmtId="183" fontId="8" fillId="0" borderId="10" xfId="73" applyNumberFormat="1" applyFont="1" applyFill="1" applyBorder="1" applyAlignment="1">
      <alignment horizontal="right" wrapText="1"/>
    </xf>
    <xf numFmtId="172" fontId="6" fillId="33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172" fontId="6" fillId="35" borderId="10" xfId="0" applyNumberFormat="1" applyFont="1" applyFill="1" applyBorder="1" applyAlignment="1">
      <alignment horizontal="right" vertical="center" wrapText="1"/>
    </xf>
    <xf numFmtId="1" fontId="11" fillId="0" borderId="15" xfId="0" applyNumberFormat="1" applyFont="1" applyFill="1" applyBorder="1" applyAlignment="1">
      <alignment horizontal="left" vertical="top" wrapText="1"/>
    </xf>
    <xf numFmtId="172" fontId="11" fillId="0" borderId="13" xfId="0" applyNumberFormat="1" applyFont="1" applyFill="1" applyBorder="1" applyAlignment="1">
      <alignment horizontal="center" wrapText="1"/>
    </xf>
    <xf numFmtId="172" fontId="11" fillId="0" borderId="14" xfId="0" applyNumberFormat="1" applyFont="1" applyFill="1" applyBorder="1" applyAlignment="1">
      <alignment horizontal="center" wrapText="1"/>
    </xf>
    <xf numFmtId="172" fontId="11" fillId="0" borderId="10" xfId="73" applyNumberFormat="1" applyFont="1" applyFill="1" applyBorder="1" applyAlignment="1">
      <alignment horizontal="center" vertical="top" wrapText="1"/>
    </xf>
    <xf numFmtId="172" fontId="11" fillId="0" borderId="13" xfId="0" applyNumberFormat="1" applyFont="1" applyFill="1" applyBorder="1" applyAlignment="1">
      <alignment horizontal="center" vertical="top" wrapText="1"/>
    </xf>
    <xf numFmtId="172" fontId="11" fillId="0" borderId="16" xfId="0" applyNumberFormat="1" applyFont="1" applyFill="1" applyBorder="1" applyAlignment="1">
      <alignment horizontal="center" wrapText="1"/>
    </xf>
    <xf numFmtId="172" fontId="55" fillId="0" borderId="16" xfId="0" applyNumberFormat="1" applyFont="1" applyFill="1" applyBorder="1" applyAlignment="1">
      <alignment horizontal="center" wrapText="1"/>
    </xf>
    <xf numFmtId="172" fontId="55" fillId="0" borderId="10" xfId="0" applyNumberFormat="1" applyFont="1" applyFill="1" applyBorder="1" applyAlignment="1">
      <alignment horizontal="center" wrapText="1"/>
    </xf>
    <xf numFmtId="172" fontId="11" fillId="0" borderId="1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vertical="top" wrapText="1"/>
    </xf>
    <xf numFmtId="172" fontId="11" fillId="0" borderId="0" xfId="0" applyNumberFormat="1" applyFont="1" applyFill="1" applyAlignment="1">
      <alignment horizontal="center" wrapText="1"/>
    </xf>
    <xf numFmtId="172" fontId="5" fillId="33" borderId="0" xfId="0" applyNumberFormat="1" applyFont="1" applyFill="1" applyAlignment="1">
      <alignment horizontal="center" wrapText="1"/>
    </xf>
    <xf numFmtId="172" fontId="11" fillId="33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vertical="top" wrapText="1"/>
    </xf>
    <xf numFmtId="172" fontId="5" fillId="0" borderId="0" xfId="0" applyNumberFormat="1" applyFont="1" applyFill="1" applyAlignment="1">
      <alignment horizontal="left" vertical="top" wrapText="1"/>
    </xf>
    <xf numFmtId="172" fontId="11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80" fontId="11" fillId="0" borderId="0" xfId="0" applyNumberFormat="1" applyFont="1" applyFill="1" applyAlignment="1">
      <alignment horizontal="right" vertical="top" wrapText="1"/>
    </xf>
    <xf numFmtId="0" fontId="11" fillId="0" borderId="0" xfId="0" applyFont="1" applyFill="1" applyAlignment="1">
      <alignment horizontal="left" vertical="top" wrapText="1"/>
    </xf>
    <xf numFmtId="18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3" fontId="5" fillId="33" borderId="10" xfId="73" applyNumberFormat="1" applyFont="1" applyFill="1" applyBorder="1" applyAlignment="1">
      <alignment horizontal="right" wrapText="1"/>
    </xf>
    <xf numFmtId="182" fontId="5" fillId="33" borderId="0" xfId="0" applyNumberFormat="1" applyFont="1" applyFill="1" applyAlignment="1">
      <alignment horizontal="left" vertical="top" wrapText="1"/>
    </xf>
    <xf numFmtId="172" fontId="56" fillId="33" borderId="17" xfId="0" applyNumberFormat="1" applyFont="1" applyFill="1" applyBorder="1" applyAlignment="1">
      <alignment horizontal="center"/>
    </xf>
    <xf numFmtId="172" fontId="56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 vertical="top" wrapText="1"/>
    </xf>
    <xf numFmtId="172" fontId="11" fillId="35" borderId="14" xfId="0" applyNumberFormat="1" applyFont="1" applyFill="1" applyBorder="1" applyAlignment="1">
      <alignment horizontal="right" wrapText="1" shrinkToFit="1"/>
    </xf>
    <xf numFmtId="182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172" fontId="57" fillId="0" borderId="17" xfId="0" applyNumberFormat="1" applyFont="1" applyFill="1" applyBorder="1" applyAlignment="1">
      <alignment horizontal="center"/>
    </xf>
    <xf numFmtId="172" fontId="57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183" fontId="11" fillId="0" borderId="10" xfId="73" applyNumberFormat="1" applyFont="1" applyFill="1" applyBorder="1" applyAlignment="1">
      <alignment horizontal="right" wrapText="1"/>
    </xf>
    <xf numFmtId="182" fontId="11" fillId="0" borderId="0" xfId="0" applyNumberFormat="1" applyFont="1" applyFill="1" applyAlignment="1">
      <alignment horizontal="left" vertical="top" wrapText="1"/>
    </xf>
    <xf numFmtId="172" fontId="56" fillId="0" borderId="17" xfId="0" applyNumberFormat="1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 horizontal="center"/>
    </xf>
    <xf numFmtId="172" fontId="8" fillId="36" borderId="10" xfId="73" applyNumberFormat="1" applyFont="1" applyFill="1" applyBorder="1" applyAlignment="1">
      <alignment horizontal="right" wrapText="1"/>
    </xf>
    <xf numFmtId="183" fontId="5" fillId="0" borderId="10" xfId="73" applyNumberFormat="1" applyFont="1" applyFill="1" applyBorder="1" applyAlignment="1">
      <alignment horizontal="right" wrapText="1"/>
    </xf>
    <xf numFmtId="182" fontId="5" fillId="0" borderId="0" xfId="0" applyNumberFormat="1" applyFont="1" applyFill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center" wrapText="1"/>
    </xf>
    <xf numFmtId="183" fontId="10" fillId="0" borderId="10" xfId="73" applyNumberFormat="1" applyFont="1" applyFill="1" applyBorder="1" applyAlignment="1">
      <alignment horizontal="right" wrapText="1"/>
    </xf>
    <xf numFmtId="182" fontId="10" fillId="0" borderId="0" xfId="0" applyNumberFormat="1" applyFont="1" applyFill="1" applyAlignment="1">
      <alignment horizontal="left" vertical="top" wrapText="1"/>
    </xf>
    <xf numFmtId="172" fontId="58" fillId="0" borderId="17" xfId="0" applyNumberFormat="1" applyFont="1" applyFill="1" applyBorder="1" applyAlignment="1">
      <alignment horizontal="center"/>
    </xf>
    <xf numFmtId="172" fontId="58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vertical="center" wrapText="1"/>
    </xf>
    <xf numFmtId="0" fontId="8" fillId="35" borderId="15" xfId="0" applyFont="1" applyFill="1" applyBorder="1" applyAlignment="1">
      <alignment horizontal="left" vertical="center" wrapText="1" shrinkToFit="1"/>
    </xf>
    <xf numFmtId="0" fontId="11" fillId="35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vertical="top" wrapText="1"/>
    </xf>
    <xf numFmtId="0" fontId="11" fillId="35" borderId="15" xfId="0" applyFont="1" applyFill="1" applyBorder="1" applyAlignment="1">
      <alignment horizontal="left" vertical="center" wrapText="1" shrinkToFit="1"/>
    </xf>
    <xf numFmtId="0" fontId="11" fillId="35" borderId="18" xfId="0" applyFont="1" applyFill="1" applyBorder="1" applyAlignment="1">
      <alignment horizontal="left" vertical="center" wrapText="1" shrinkToFit="1"/>
    </xf>
    <xf numFmtId="0" fontId="11" fillId="35" borderId="10" xfId="0" applyFont="1" applyFill="1" applyBorder="1" applyAlignment="1">
      <alignment horizontal="left" vertical="center" wrapText="1" shrinkToFit="1"/>
    </xf>
    <xf numFmtId="0" fontId="11" fillId="35" borderId="10" xfId="0" applyFont="1" applyFill="1" applyBorder="1" applyAlignment="1">
      <alignment wrapText="1"/>
    </xf>
    <xf numFmtId="174" fontId="11" fillId="35" borderId="14" xfId="0" applyNumberFormat="1" applyFont="1" applyFill="1" applyBorder="1" applyAlignment="1">
      <alignment horizontal="right" wrapText="1" shrinkToFit="1"/>
    </xf>
    <xf numFmtId="172" fontId="5" fillId="36" borderId="10" xfId="73" applyNumberFormat="1" applyFont="1" applyFill="1" applyBorder="1" applyAlignment="1">
      <alignment horizontal="right" wrapText="1"/>
    </xf>
    <xf numFmtId="0" fontId="59" fillId="35" borderId="17" xfId="0" applyFont="1" applyFill="1" applyBorder="1" applyAlignment="1">
      <alignment wrapText="1"/>
    </xf>
    <xf numFmtId="0" fontId="11" fillId="33" borderId="0" xfId="0" applyFont="1" applyFill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172" fontId="11" fillId="35" borderId="13" xfId="0" applyNumberFormat="1" applyFont="1" applyFill="1" applyBorder="1" applyAlignment="1">
      <alignment horizontal="right" wrapText="1" shrinkToFit="1"/>
    </xf>
    <xf numFmtId="0" fontId="7" fillId="0" borderId="10" xfId="0" applyFont="1" applyFill="1" applyBorder="1" applyAlignment="1">
      <alignment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49" fontId="60" fillId="0" borderId="24" xfId="0" applyNumberFormat="1" applyFont="1" applyFill="1" applyBorder="1" applyAlignment="1">
      <alignment horizontal="center" wrapText="1"/>
    </xf>
    <xf numFmtId="49" fontId="60" fillId="0" borderId="11" xfId="0" applyNumberFormat="1" applyFont="1" applyFill="1" applyBorder="1" applyAlignment="1">
      <alignment horizontal="center" wrapText="1"/>
    </xf>
    <xf numFmtId="49" fontId="60" fillId="0" borderId="1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80" fontId="5" fillId="0" borderId="18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6" fillId="18" borderId="10" xfId="0" applyFont="1" applyFill="1" applyBorder="1" applyAlignment="1">
      <alignment horizontal="center" vertical="top" wrapText="1"/>
    </xf>
    <xf numFmtId="0" fontId="6" fillId="11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1" fillId="33" borderId="13" xfId="73" applyNumberFormat="1" applyFont="1" applyFill="1" applyBorder="1" applyAlignment="1">
      <alignment horizontal="right" wrapText="1"/>
    </xf>
    <xf numFmtId="172" fontId="2" fillId="35" borderId="13" xfId="0" applyNumberFormat="1" applyFont="1" applyFill="1" applyBorder="1" applyAlignment="1">
      <alignment horizontal="right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3" xfId="73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vertical="center" wrapText="1"/>
    </xf>
    <xf numFmtId="172" fontId="1" fillId="0" borderId="13" xfId="73" applyNumberFormat="1" applyFont="1" applyFill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horizontal="left" vertical="center" wrapText="1" shrinkToFit="1"/>
    </xf>
    <xf numFmtId="0" fontId="2" fillId="35" borderId="18" xfId="0" applyFont="1" applyFill="1" applyBorder="1" applyAlignment="1">
      <alignment horizontal="left" vertical="center" wrapText="1" shrinkToFit="1"/>
    </xf>
    <xf numFmtId="0" fontId="2" fillId="35" borderId="10" xfId="0" applyFont="1" applyFill="1" applyBorder="1" applyAlignment="1">
      <alignment horizontal="left" vertical="center" wrapText="1" shrinkToFit="1"/>
    </xf>
    <xf numFmtId="0" fontId="2" fillId="35" borderId="10" xfId="0" applyFont="1" applyFill="1" applyBorder="1" applyAlignment="1">
      <alignment wrapText="1"/>
    </xf>
    <xf numFmtId="174" fontId="2" fillId="35" borderId="13" xfId="0" applyNumberFormat="1" applyFont="1" applyFill="1" applyBorder="1" applyAlignment="1">
      <alignment horizontal="right" wrapText="1" shrinkToFit="1"/>
    </xf>
    <xf numFmtId="0" fontId="61" fillId="35" borderId="17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180" fontId="1" fillId="0" borderId="0" xfId="0" applyNumberFormat="1" applyFont="1" applyFill="1" applyAlignment="1">
      <alignment horizontal="left" vertical="top" wrapText="1"/>
    </xf>
    <xf numFmtId="180" fontId="2" fillId="0" borderId="0" xfId="0" applyNumberFormat="1" applyFont="1" applyFill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5" borderId="17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3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5" borderId="15" xfId="0" applyFont="1" applyFill="1" applyBorder="1" applyAlignment="1">
      <alignment horizontal="left" vertical="center" wrapText="1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right"/>
    </xf>
    <xf numFmtId="172" fontId="1" fillId="35" borderId="13" xfId="0" applyNumberFormat="1" applyFont="1" applyFill="1" applyBorder="1" applyAlignment="1">
      <alignment horizontal="right" wrapText="1" shrinkToFit="1"/>
    </xf>
    <xf numFmtId="172" fontId="2" fillId="0" borderId="10" xfId="0" applyNumberFormat="1" applyFont="1" applyBorder="1" applyAlignment="1">
      <alignment horizontal="right"/>
    </xf>
    <xf numFmtId="172" fontId="2" fillId="0" borderId="10" xfId="73" applyNumberFormat="1" applyFont="1" applyFill="1" applyBorder="1" applyAlignment="1">
      <alignment horizontal="right" wrapText="1"/>
    </xf>
    <xf numFmtId="172" fontId="1" fillId="33" borderId="10" xfId="0" applyNumberFormat="1" applyFont="1" applyFill="1" applyBorder="1" applyAlignment="1">
      <alignment horizontal="right"/>
    </xf>
    <xf numFmtId="172" fontId="2" fillId="33" borderId="13" xfId="73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horizontal="right"/>
    </xf>
    <xf numFmtId="172" fontId="1" fillId="33" borderId="13" xfId="73" applyNumberFormat="1" applyFont="1" applyFill="1" applyBorder="1" applyAlignment="1">
      <alignment wrapText="1"/>
    </xf>
    <xf numFmtId="172" fontId="1" fillId="0" borderId="10" xfId="0" applyNumberFormat="1" applyFont="1" applyBorder="1" applyAlignment="1">
      <alignment/>
    </xf>
    <xf numFmtId="172" fontId="1" fillId="35" borderId="13" xfId="0" applyNumberFormat="1" applyFont="1" applyFill="1" applyBorder="1" applyAlignment="1">
      <alignment wrapText="1" shrinkToFit="1"/>
    </xf>
    <xf numFmtId="172" fontId="1" fillId="0" borderId="13" xfId="73" applyNumberFormat="1" applyFont="1" applyFill="1" applyBorder="1" applyAlignment="1">
      <alignment wrapText="1"/>
    </xf>
    <xf numFmtId="172" fontId="2" fillId="0" borderId="13" xfId="73" applyNumberFormat="1" applyFont="1" applyFill="1" applyBorder="1" applyAlignment="1">
      <alignment wrapText="1"/>
    </xf>
    <xf numFmtId="172" fontId="2" fillId="0" borderId="10" xfId="0" applyNumberFormat="1" applyFont="1" applyBorder="1" applyAlignment="1">
      <alignment/>
    </xf>
    <xf numFmtId="172" fontId="2" fillId="35" borderId="13" xfId="0" applyNumberFormat="1" applyFont="1" applyFill="1" applyBorder="1" applyAlignment="1">
      <alignment wrapText="1" shrinkToFit="1"/>
    </xf>
    <xf numFmtId="172" fontId="2" fillId="0" borderId="10" xfId="73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174" fontId="2" fillId="0" borderId="13" xfId="0" applyNumberFormat="1" applyFont="1" applyFill="1" applyBorder="1" applyAlignment="1">
      <alignment wrapText="1"/>
    </xf>
    <xf numFmtId="174" fontId="2" fillId="35" borderId="13" xfId="0" applyNumberFormat="1" applyFont="1" applyFill="1" applyBorder="1" applyAlignment="1">
      <alignment wrapText="1" shrinkToFit="1"/>
    </xf>
    <xf numFmtId="172" fontId="2" fillId="33" borderId="13" xfId="73" applyNumberFormat="1" applyFont="1" applyFill="1" applyBorder="1" applyAlignment="1">
      <alignment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30" xfId="60"/>
    <cellStyle name="Обычный 4" xfId="61"/>
    <cellStyle name="Обычный 5" xfId="62"/>
    <cellStyle name="Обычный 6" xfId="63"/>
    <cellStyle name="Обычный 7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94"/>
  <sheetViews>
    <sheetView view="pageBreakPreview" zoomScale="60" zoomScalePageLayoutView="0" workbookViewId="0" topLeftCell="A22">
      <selection activeCell="B12" sqref="B12"/>
    </sheetView>
  </sheetViews>
  <sheetFormatPr defaultColWidth="9.140625" defaultRowHeight="12.75"/>
  <cols>
    <col min="1" max="1" width="28.57421875" style="11" customWidth="1"/>
    <col min="2" max="2" width="80.421875" style="60" customWidth="1"/>
    <col min="3" max="3" width="25.28125" style="60" hidden="1" customWidth="1"/>
    <col min="4" max="4" width="14.140625" style="61" hidden="1" customWidth="1"/>
    <col min="5" max="6" width="15.421875" style="60" customWidth="1"/>
    <col min="7" max="7" width="15.7109375" style="60" customWidth="1"/>
    <col min="8" max="8" width="17.140625" style="60" customWidth="1"/>
    <col min="9" max="9" width="13.7109375" style="60" customWidth="1"/>
    <col min="10" max="10" width="14.57421875" style="60" customWidth="1"/>
    <col min="11" max="11" width="15.8515625" style="60" customWidth="1"/>
    <col min="12" max="12" width="11.8515625" style="60" customWidth="1"/>
    <col min="13" max="13" width="15.57421875" style="60" customWidth="1"/>
    <col min="14" max="14" width="16.00390625" style="60" customWidth="1"/>
    <col min="15" max="15" width="13.00390625" style="60" customWidth="1"/>
    <col min="16" max="16" width="12.8515625" style="60" customWidth="1"/>
    <col min="17" max="17" width="12.57421875" style="60" customWidth="1"/>
    <col min="18" max="19" width="11.8515625" style="60" customWidth="1"/>
    <col min="20" max="20" width="12.8515625" style="60" customWidth="1"/>
    <col min="21" max="22" width="14.8515625" style="60" customWidth="1"/>
    <col min="23" max="24" width="14.57421875" style="60" customWidth="1"/>
    <col min="25" max="25" width="20.8515625" style="60" customWidth="1"/>
    <col min="26" max="26" width="15.8515625" style="60" customWidth="1"/>
    <col min="27" max="16384" width="9.140625" style="60" customWidth="1"/>
  </cols>
  <sheetData>
    <row r="1" spans="1:12" ht="33.75" customHeight="1">
      <c r="A1" s="178" t="s">
        <v>276</v>
      </c>
      <c r="B1" s="178"/>
      <c r="C1" s="178"/>
      <c r="D1" s="178"/>
      <c r="E1" s="178"/>
      <c r="F1" s="178"/>
      <c r="G1" s="178"/>
      <c r="H1" s="178"/>
      <c r="I1" s="178"/>
      <c r="J1" s="178"/>
      <c r="K1" s="59"/>
      <c r="L1" s="59"/>
    </row>
    <row r="2" ht="2.25" customHeight="1"/>
    <row r="3" ht="6.75" customHeight="1"/>
    <row r="4" spans="4:12" ht="24" customHeight="1">
      <c r="D4" s="179"/>
      <c r="E4" s="179"/>
      <c r="F4" s="179"/>
      <c r="G4" s="62"/>
      <c r="H4" s="62"/>
      <c r="I4" s="62"/>
      <c r="J4" s="62"/>
      <c r="K4" s="63" t="s">
        <v>2</v>
      </c>
      <c r="L4" s="63"/>
    </row>
    <row r="5" spans="1:20" ht="37.5" customHeight="1">
      <c r="A5" s="170" t="s">
        <v>190</v>
      </c>
      <c r="B5" s="170" t="s">
        <v>14</v>
      </c>
      <c r="C5" s="172" t="s">
        <v>189</v>
      </c>
      <c r="D5" s="173"/>
      <c r="E5" s="173"/>
      <c r="F5" s="173"/>
      <c r="G5" s="173"/>
      <c r="H5" s="174"/>
      <c r="I5" s="170" t="s">
        <v>221</v>
      </c>
      <c r="J5" s="175" t="s">
        <v>223</v>
      </c>
      <c r="K5" s="170" t="s">
        <v>277</v>
      </c>
      <c r="L5" s="176" t="s">
        <v>229</v>
      </c>
      <c r="M5" s="170" t="s">
        <v>222</v>
      </c>
      <c r="N5" s="175" t="s">
        <v>224</v>
      </c>
      <c r="O5" s="170" t="s">
        <v>240</v>
      </c>
      <c r="P5" s="176" t="s">
        <v>232</v>
      </c>
      <c r="Q5" s="170" t="s">
        <v>278</v>
      </c>
      <c r="R5" s="175" t="s">
        <v>279</v>
      </c>
      <c r="S5" s="176" t="s">
        <v>280</v>
      </c>
      <c r="T5" s="170" t="s">
        <v>281</v>
      </c>
    </row>
    <row r="6" spans="1:26" s="67" customFormat="1" ht="183.75" customHeight="1">
      <c r="A6" s="180"/>
      <c r="B6" s="180"/>
      <c r="C6" s="64" t="s">
        <v>15</v>
      </c>
      <c r="D6" s="65" t="s">
        <v>16</v>
      </c>
      <c r="E6" s="66" t="s">
        <v>218</v>
      </c>
      <c r="F6" s="66" t="s">
        <v>219</v>
      </c>
      <c r="G6" s="66" t="s">
        <v>220</v>
      </c>
      <c r="H6" s="66" t="s">
        <v>275</v>
      </c>
      <c r="I6" s="171"/>
      <c r="J6" s="171"/>
      <c r="K6" s="171"/>
      <c r="L6" s="177"/>
      <c r="M6" s="171"/>
      <c r="N6" s="171"/>
      <c r="O6" s="171"/>
      <c r="P6" s="177"/>
      <c r="Q6" s="171"/>
      <c r="R6" s="171"/>
      <c r="S6" s="177"/>
      <c r="T6" s="171"/>
      <c r="U6" s="67">
        <v>2019</v>
      </c>
      <c r="V6" s="67">
        <v>2019</v>
      </c>
      <c r="W6" s="67">
        <v>2020</v>
      </c>
      <c r="X6" s="67">
        <v>2020</v>
      </c>
      <c r="Y6" s="67">
        <v>2021</v>
      </c>
      <c r="Z6" s="67">
        <v>2021</v>
      </c>
    </row>
    <row r="7" spans="1:26" s="69" customFormat="1" ht="47.25" customHeight="1">
      <c r="A7" s="68">
        <v>1</v>
      </c>
      <c r="B7" s="68">
        <v>2</v>
      </c>
      <c r="C7" s="91">
        <v>3</v>
      </c>
      <c r="D7" s="91"/>
      <c r="E7" s="91">
        <v>3</v>
      </c>
      <c r="F7" s="91">
        <v>4</v>
      </c>
      <c r="G7" s="91">
        <v>5</v>
      </c>
      <c r="H7" s="91">
        <v>6</v>
      </c>
      <c r="I7" s="91">
        <v>7</v>
      </c>
      <c r="J7" s="91">
        <v>8</v>
      </c>
      <c r="K7" s="68" t="s">
        <v>237</v>
      </c>
      <c r="L7" s="68" t="s">
        <v>243</v>
      </c>
      <c r="M7" s="68">
        <v>11</v>
      </c>
      <c r="N7" s="68">
        <v>12</v>
      </c>
      <c r="O7" s="68" t="s">
        <v>241</v>
      </c>
      <c r="P7" s="68" t="s">
        <v>244</v>
      </c>
      <c r="Q7" s="68">
        <v>15</v>
      </c>
      <c r="R7" s="68">
        <v>16</v>
      </c>
      <c r="S7" s="68" t="s">
        <v>245</v>
      </c>
      <c r="T7" s="68" t="s">
        <v>242</v>
      </c>
      <c r="U7" s="111">
        <v>723799.4</v>
      </c>
      <c r="V7" s="111">
        <v>172705.6</v>
      </c>
      <c r="W7" s="111">
        <v>654007</v>
      </c>
      <c r="X7" s="111">
        <v>178920.1</v>
      </c>
      <c r="Y7" s="111">
        <v>667260.9</v>
      </c>
      <c r="Z7" s="111">
        <v>185361.2</v>
      </c>
    </row>
    <row r="8" spans="1:26" s="67" customFormat="1" ht="12.75" customHeight="1">
      <c r="A8" s="8"/>
      <c r="B8" s="8"/>
      <c r="C8" s="70"/>
      <c r="D8" s="71"/>
      <c r="E8" s="70"/>
      <c r="F8" s="70"/>
      <c r="G8" s="70"/>
      <c r="H8" s="70"/>
      <c r="I8" s="70"/>
      <c r="J8" s="70"/>
      <c r="K8" s="72"/>
      <c r="L8" s="72"/>
      <c r="M8" s="73"/>
      <c r="N8" s="73"/>
      <c r="O8" s="73"/>
      <c r="P8" s="73"/>
      <c r="Q8" s="73"/>
      <c r="R8" s="73"/>
      <c r="S8" s="73"/>
      <c r="T8" s="73"/>
      <c r="U8" s="112"/>
      <c r="V8" s="112"/>
      <c r="W8" s="112"/>
      <c r="X8" s="112"/>
      <c r="Y8" s="112"/>
      <c r="Z8" s="112"/>
    </row>
    <row r="9" spans="1:26" s="78" customFormat="1" ht="42" customHeight="1">
      <c r="A9" s="42" t="s">
        <v>17</v>
      </c>
      <c r="B9" s="43" t="s">
        <v>18</v>
      </c>
      <c r="C9" s="44">
        <f aca="true" t="shared" si="0" ref="C9:H9">SUM(C10:C24)</f>
        <v>151022.9</v>
      </c>
      <c r="D9" s="52">
        <f t="shared" si="0"/>
        <v>140527.3</v>
      </c>
      <c r="E9" s="74">
        <f t="shared" si="0"/>
        <v>170110.4</v>
      </c>
      <c r="F9" s="74">
        <f t="shared" si="0"/>
        <v>172705.59999999998</v>
      </c>
      <c r="G9" s="74">
        <f t="shared" si="0"/>
        <v>178920.09999999998</v>
      </c>
      <c r="H9" s="74">
        <f t="shared" si="0"/>
        <v>185361.2</v>
      </c>
      <c r="I9" s="75">
        <f aca="true" t="shared" si="1" ref="I9:I35">F9/U9</f>
        <v>0.23860975844964774</v>
      </c>
      <c r="J9" s="75">
        <f aca="true" t="shared" si="2" ref="J9:J24">F9/V9</f>
        <v>0.9999999999999998</v>
      </c>
      <c r="K9" s="74">
        <f>F9-E9</f>
        <v>2595.1999999999825</v>
      </c>
      <c r="L9" s="75">
        <f>F9/E9</f>
        <v>1.0152559749433308</v>
      </c>
      <c r="M9" s="76">
        <f aca="true" t="shared" si="3" ref="M9:M35">G9/W9</f>
        <v>0.27357520638158306</v>
      </c>
      <c r="N9" s="76">
        <f aca="true" t="shared" si="4" ref="N9:N24">G9/X9</f>
        <v>0.9999999999999999</v>
      </c>
      <c r="O9" s="77">
        <f>G9-F9</f>
        <v>6214.5</v>
      </c>
      <c r="P9" s="76">
        <f>G9/F9</f>
        <v>1.035983199155094</v>
      </c>
      <c r="Q9" s="76">
        <f aca="true" t="shared" si="5" ref="Q9:Q35">H9/Y9</f>
        <v>0.27779418815039214</v>
      </c>
      <c r="R9" s="76">
        <f aca="true" t="shared" si="6" ref="R9:R25">H9/Z9</f>
        <v>1</v>
      </c>
      <c r="S9" s="76">
        <f>H9/G9</f>
        <v>1.0359998680975477</v>
      </c>
      <c r="T9" s="77">
        <f aca="true" t="shared" si="7" ref="T9:T35">H9-G9</f>
        <v>6441.100000000035</v>
      </c>
      <c r="U9" s="111">
        <v>723799.4</v>
      </c>
      <c r="V9" s="113">
        <v>172705.6</v>
      </c>
      <c r="W9" s="114">
        <v>654007</v>
      </c>
      <c r="X9" s="114">
        <v>178920.1</v>
      </c>
      <c r="Y9" s="114">
        <v>667260.9</v>
      </c>
      <c r="Z9" s="114">
        <v>185361.2</v>
      </c>
    </row>
    <row r="10" spans="1:26" s="83" customFormat="1" ht="18.75">
      <c r="A10" s="54" t="s">
        <v>19</v>
      </c>
      <c r="B10" s="55" t="s">
        <v>20</v>
      </c>
      <c r="C10" s="56">
        <v>106369</v>
      </c>
      <c r="D10" s="18">
        <v>104870</v>
      </c>
      <c r="E10" s="79">
        <v>113067</v>
      </c>
      <c r="F10" s="103">
        <v>119313</v>
      </c>
      <c r="G10" s="103">
        <f>123608.3</f>
        <v>123608.3</v>
      </c>
      <c r="H10" s="104">
        <f>128058.3</f>
        <v>128058.3</v>
      </c>
      <c r="I10" s="80">
        <f t="shared" si="1"/>
        <v>0.16484263457527043</v>
      </c>
      <c r="J10" s="80">
        <f t="shared" si="2"/>
        <v>0.6908461566967139</v>
      </c>
      <c r="K10" s="57">
        <f aca="true" t="shared" si="8" ref="K10:K35">F10-E10</f>
        <v>6246</v>
      </c>
      <c r="L10" s="85">
        <f aca="true" t="shared" si="9" ref="L10:L35">F10/E10</f>
        <v>1.0552415824245802</v>
      </c>
      <c r="M10" s="81">
        <f t="shared" si="3"/>
        <v>0.18900149386780266</v>
      </c>
      <c r="N10" s="81">
        <f t="shared" si="4"/>
        <v>0.6908575392032533</v>
      </c>
      <c r="O10" s="82">
        <f aca="true" t="shared" si="10" ref="O10:O35">G10-F10</f>
        <v>4295.300000000003</v>
      </c>
      <c r="P10" s="86">
        <f aca="true" t="shared" si="11" ref="P10:P35">G10/F10</f>
        <v>1.0360002682021239</v>
      </c>
      <c r="Q10" s="81">
        <f t="shared" si="5"/>
        <v>0.19191638532993616</v>
      </c>
      <c r="R10" s="81">
        <f t="shared" si="6"/>
        <v>0.6908581731236094</v>
      </c>
      <c r="S10" s="86">
        <f aca="true" t="shared" si="12" ref="S10:S35">H10/G10</f>
        <v>1.036000818715248</v>
      </c>
      <c r="T10" s="82">
        <f t="shared" si="7"/>
        <v>4450</v>
      </c>
      <c r="U10" s="113">
        <v>723799.4</v>
      </c>
      <c r="V10" s="113">
        <v>172705.6</v>
      </c>
      <c r="W10" s="115">
        <v>654007</v>
      </c>
      <c r="X10" s="115">
        <v>178920.1</v>
      </c>
      <c r="Y10" s="115">
        <v>667260.9</v>
      </c>
      <c r="Z10" s="115">
        <v>185361.2</v>
      </c>
    </row>
    <row r="11" spans="1:26" s="83" customFormat="1" ht="26.25" customHeight="1">
      <c r="A11" s="54" t="s">
        <v>21</v>
      </c>
      <c r="B11" s="55" t="s">
        <v>22</v>
      </c>
      <c r="C11" s="56">
        <v>0</v>
      </c>
      <c r="D11" s="18">
        <v>3607.4</v>
      </c>
      <c r="E11" s="84">
        <f>18984.4</f>
        <v>18984.4</v>
      </c>
      <c r="F11" s="103">
        <v>19241.3</v>
      </c>
      <c r="G11" s="103">
        <f>19934</f>
        <v>19934</v>
      </c>
      <c r="H11" s="104">
        <f>20651.6</f>
        <v>20651.6</v>
      </c>
      <c r="I11" s="80">
        <f t="shared" si="1"/>
        <v>0.026583746822669372</v>
      </c>
      <c r="J11" s="80">
        <f t="shared" si="2"/>
        <v>0.11141097914601494</v>
      </c>
      <c r="K11" s="57">
        <f t="shared" si="8"/>
        <v>256.8999999999978</v>
      </c>
      <c r="L11" s="85">
        <f t="shared" si="9"/>
        <v>1.013532163249826</v>
      </c>
      <c r="M11" s="81">
        <f t="shared" si="3"/>
        <v>0.030479796087809458</v>
      </c>
      <c r="N11" s="81">
        <f t="shared" si="4"/>
        <v>0.11141285970665117</v>
      </c>
      <c r="O11" s="82">
        <f t="shared" si="10"/>
        <v>692.7000000000007</v>
      </c>
      <c r="P11" s="86">
        <f t="shared" si="11"/>
        <v>1.0360006860243332</v>
      </c>
      <c r="Q11" s="81">
        <f t="shared" si="5"/>
        <v>0.03094981288428559</v>
      </c>
      <c r="R11" s="81">
        <f t="shared" si="6"/>
        <v>0.11141274441468871</v>
      </c>
      <c r="S11" s="86">
        <f t="shared" si="12"/>
        <v>1.0359987960268886</v>
      </c>
      <c r="T11" s="82">
        <f t="shared" si="7"/>
        <v>717.5999999999985</v>
      </c>
      <c r="U11" s="113">
        <v>723799.4</v>
      </c>
      <c r="V11" s="113">
        <v>172705.6</v>
      </c>
      <c r="W11" s="115">
        <v>654007</v>
      </c>
      <c r="X11" s="115">
        <v>178920.1</v>
      </c>
      <c r="Y11" s="115">
        <v>667260.9</v>
      </c>
      <c r="Z11" s="115">
        <v>185361.2</v>
      </c>
    </row>
    <row r="12" spans="1:26" s="83" customFormat="1" ht="18.75">
      <c r="A12" s="54" t="s">
        <v>23</v>
      </c>
      <c r="B12" s="58" t="s">
        <v>24</v>
      </c>
      <c r="C12" s="56">
        <v>18000</v>
      </c>
      <c r="D12" s="18">
        <v>19000</v>
      </c>
      <c r="E12" s="84">
        <v>17200</v>
      </c>
      <c r="F12" s="103">
        <f>12500</f>
        <v>12500</v>
      </c>
      <c r="G12" s="103">
        <f>12950</f>
        <v>12950</v>
      </c>
      <c r="H12" s="104">
        <f>13416.2</f>
        <v>13416.2</v>
      </c>
      <c r="I12" s="80">
        <f t="shared" si="1"/>
        <v>0.01726997839456623</v>
      </c>
      <c r="J12" s="80">
        <f t="shared" si="2"/>
        <v>0.07237750252452728</v>
      </c>
      <c r="K12" s="57">
        <f t="shared" si="8"/>
        <v>-4700</v>
      </c>
      <c r="L12" s="85">
        <f t="shared" si="9"/>
        <v>0.7267441860465116</v>
      </c>
      <c r="M12" s="81">
        <f t="shared" si="3"/>
        <v>0.019801011304160353</v>
      </c>
      <c r="N12" s="81">
        <f t="shared" si="4"/>
        <v>0.07237867629181964</v>
      </c>
      <c r="O12" s="82">
        <f t="shared" si="10"/>
        <v>450</v>
      </c>
      <c r="P12" s="86">
        <f t="shared" si="11"/>
        <v>1.036</v>
      </c>
      <c r="Q12" s="81">
        <f t="shared" si="5"/>
        <v>0.02010637817980943</v>
      </c>
      <c r="R12" s="81">
        <f t="shared" si="6"/>
        <v>0.0723786855069993</v>
      </c>
      <c r="S12" s="86">
        <f t="shared" si="12"/>
        <v>1.036</v>
      </c>
      <c r="T12" s="82">
        <f t="shared" si="7"/>
        <v>466.2000000000007</v>
      </c>
      <c r="U12" s="113">
        <v>723799.4</v>
      </c>
      <c r="V12" s="113">
        <v>172705.6</v>
      </c>
      <c r="W12" s="115">
        <v>654007</v>
      </c>
      <c r="X12" s="115">
        <v>178920.1</v>
      </c>
      <c r="Y12" s="115">
        <v>667260.9</v>
      </c>
      <c r="Z12" s="115">
        <v>185361.2</v>
      </c>
    </row>
    <row r="13" spans="1:26" s="83" customFormat="1" ht="18.75">
      <c r="A13" s="54" t="s">
        <v>25</v>
      </c>
      <c r="B13" s="55" t="s">
        <v>26</v>
      </c>
      <c r="C13" s="56">
        <v>1041</v>
      </c>
      <c r="D13" s="18">
        <v>3500</v>
      </c>
      <c r="E13" s="79">
        <v>8865</v>
      </c>
      <c r="F13" s="103">
        <f>8776</f>
        <v>8776</v>
      </c>
      <c r="G13" s="103">
        <f>9091.9</f>
        <v>9091.9</v>
      </c>
      <c r="H13" s="104">
        <f>9419.2</f>
        <v>9419.2</v>
      </c>
      <c r="I13" s="80">
        <f t="shared" si="1"/>
        <v>0.012124906431257057</v>
      </c>
      <c r="J13" s="80">
        <f t="shared" si="2"/>
        <v>0.05081479697242012</v>
      </c>
      <c r="K13" s="57">
        <f t="shared" si="8"/>
        <v>-89</v>
      </c>
      <c r="L13" s="85">
        <f t="shared" si="9"/>
        <v>0.9899605188945291</v>
      </c>
      <c r="M13" s="81">
        <f t="shared" si="3"/>
        <v>0.01390183897114251</v>
      </c>
      <c r="N13" s="81">
        <f t="shared" si="4"/>
        <v>0.05081541984382973</v>
      </c>
      <c r="O13" s="82">
        <f t="shared" si="10"/>
        <v>315.89999999999964</v>
      </c>
      <c r="P13" s="86">
        <f t="shared" si="11"/>
        <v>1.0359958979033728</v>
      </c>
      <c r="Q13" s="81">
        <f t="shared" si="5"/>
        <v>0.014116217509522888</v>
      </c>
      <c r="R13" s="81">
        <f t="shared" si="6"/>
        <v>0.05081538099667029</v>
      </c>
      <c r="S13" s="86">
        <f t="shared" si="12"/>
        <v>1.0359990761007052</v>
      </c>
      <c r="T13" s="82">
        <f t="shared" si="7"/>
        <v>327.3000000000011</v>
      </c>
      <c r="U13" s="113">
        <v>723799.4</v>
      </c>
      <c r="V13" s="113">
        <v>172705.6</v>
      </c>
      <c r="W13" s="115">
        <v>654007</v>
      </c>
      <c r="X13" s="115">
        <v>178920.1</v>
      </c>
      <c r="Y13" s="115">
        <v>667260.9</v>
      </c>
      <c r="Z13" s="115">
        <v>185361.2</v>
      </c>
    </row>
    <row r="14" spans="1:26" s="83" customFormat="1" ht="37.5">
      <c r="A14" s="102">
        <v>10504000000000100</v>
      </c>
      <c r="B14" s="55" t="s">
        <v>274</v>
      </c>
      <c r="C14" s="56"/>
      <c r="D14" s="18"/>
      <c r="E14" s="79"/>
      <c r="F14" s="103">
        <f>100</f>
        <v>100</v>
      </c>
      <c r="G14" s="103">
        <f>103.6</f>
        <v>103.6</v>
      </c>
      <c r="H14" s="104">
        <f>107.3</f>
        <v>107.3</v>
      </c>
      <c r="I14" s="80"/>
      <c r="J14" s="80"/>
      <c r="K14" s="57"/>
      <c r="L14" s="85"/>
      <c r="M14" s="81"/>
      <c r="N14" s="81"/>
      <c r="O14" s="82"/>
      <c r="P14" s="86"/>
      <c r="Q14" s="81"/>
      <c r="R14" s="81"/>
      <c r="S14" s="86"/>
      <c r="T14" s="82"/>
      <c r="U14" s="113">
        <v>723799.4</v>
      </c>
      <c r="V14" s="113">
        <v>172705.6</v>
      </c>
      <c r="W14" s="115">
        <v>654007</v>
      </c>
      <c r="X14" s="115">
        <v>178920.1</v>
      </c>
      <c r="Y14" s="115">
        <v>667260.9</v>
      </c>
      <c r="Z14" s="115">
        <v>185361.2</v>
      </c>
    </row>
    <row r="15" spans="1:26" s="83" customFormat="1" ht="18.75">
      <c r="A15" s="54" t="s">
        <v>27</v>
      </c>
      <c r="B15" s="55" t="s">
        <v>28</v>
      </c>
      <c r="C15" s="56"/>
      <c r="D15" s="18"/>
      <c r="E15" s="57"/>
      <c r="F15" s="105"/>
      <c r="G15" s="105"/>
      <c r="H15" s="105"/>
      <c r="I15" s="80">
        <f t="shared" si="1"/>
        <v>0</v>
      </c>
      <c r="J15" s="80">
        <f t="shared" si="2"/>
        <v>0</v>
      </c>
      <c r="K15" s="57">
        <f t="shared" si="8"/>
        <v>0</v>
      </c>
      <c r="L15" s="85" t="e">
        <f t="shared" si="9"/>
        <v>#DIV/0!</v>
      </c>
      <c r="M15" s="81">
        <f t="shared" si="3"/>
        <v>0</v>
      </c>
      <c r="N15" s="81">
        <f t="shared" si="4"/>
        <v>0</v>
      </c>
      <c r="O15" s="82">
        <f t="shared" si="10"/>
        <v>0</v>
      </c>
      <c r="P15" s="86" t="e">
        <f t="shared" si="11"/>
        <v>#DIV/0!</v>
      </c>
      <c r="Q15" s="81">
        <f t="shared" si="5"/>
        <v>0</v>
      </c>
      <c r="R15" s="81">
        <f t="shared" si="6"/>
        <v>0</v>
      </c>
      <c r="S15" s="86" t="e">
        <f t="shared" si="12"/>
        <v>#DIV/0!</v>
      </c>
      <c r="T15" s="82">
        <f t="shared" si="7"/>
        <v>0</v>
      </c>
      <c r="U15" s="113">
        <v>723799.4</v>
      </c>
      <c r="V15" s="113">
        <v>172705.6</v>
      </c>
      <c r="W15" s="115">
        <v>654007</v>
      </c>
      <c r="X15" s="115">
        <v>178920.1</v>
      </c>
      <c r="Y15" s="115">
        <v>667260.9</v>
      </c>
      <c r="Z15" s="115">
        <v>185361.2</v>
      </c>
    </row>
    <row r="16" spans="1:26" s="83" customFormat="1" ht="18.75">
      <c r="A16" s="54" t="s">
        <v>29</v>
      </c>
      <c r="B16" s="55" t="s">
        <v>30</v>
      </c>
      <c r="C16" s="56">
        <v>14982.3</v>
      </c>
      <c r="D16" s="18">
        <v>0</v>
      </c>
      <c r="E16" s="57">
        <v>0</v>
      </c>
      <c r="F16" s="105">
        <v>0</v>
      </c>
      <c r="G16" s="105"/>
      <c r="H16" s="105"/>
      <c r="I16" s="80">
        <f t="shared" si="1"/>
        <v>0</v>
      </c>
      <c r="J16" s="80">
        <f t="shared" si="2"/>
        <v>0</v>
      </c>
      <c r="K16" s="57">
        <f t="shared" si="8"/>
        <v>0</v>
      </c>
      <c r="L16" s="85" t="e">
        <f t="shared" si="9"/>
        <v>#DIV/0!</v>
      </c>
      <c r="M16" s="81">
        <f t="shared" si="3"/>
        <v>0</v>
      </c>
      <c r="N16" s="81">
        <f t="shared" si="4"/>
        <v>0</v>
      </c>
      <c r="O16" s="82">
        <f t="shared" si="10"/>
        <v>0</v>
      </c>
      <c r="P16" s="86" t="e">
        <f t="shared" si="11"/>
        <v>#DIV/0!</v>
      </c>
      <c r="Q16" s="81">
        <f t="shared" si="5"/>
        <v>0</v>
      </c>
      <c r="R16" s="81">
        <f t="shared" si="6"/>
        <v>0</v>
      </c>
      <c r="S16" s="86" t="e">
        <f t="shared" si="12"/>
        <v>#DIV/0!</v>
      </c>
      <c r="T16" s="82">
        <f t="shared" si="7"/>
        <v>0</v>
      </c>
      <c r="U16" s="113">
        <v>723799.4</v>
      </c>
      <c r="V16" s="113">
        <v>172705.6</v>
      </c>
      <c r="W16" s="115">
        <v>654007</v>
      </c>
      <c r="X16" s="115">
        <v>178920.1</v>
      </c>
      <c r="Y16" s="115">
        <v>667260.9</v>
      </c>
      <c r="Z16" s="115">
        <v>185361.2</v>
      </c>
    </row>
    <row r="17" spans="1:26" s="83" customFormat="1" ht="18.75">
      <c r="A17" s="54" t="s">
        <v>31</v>
      </c>
      <c r="B17" s="55" t="s">
        <v>32</v>
      </c>
      <c r="C17" s="56"/>
      <c r="D17" s="18"/>
      <c r="E17" s="57"/>
      <c r="F17" s="105"/>
      <c r="G17" s="105"/>
      <c r="H17" s="105"/>
      <c r="I17" s="80">
        <f t="shared" si="1"/>
        <v>0</v>
      </c>
      <c r="J17" s="80">
        <f t="shared" si="2"/>
        <v>0</v>
      </c>
      <c r="K17" s="57">
        <f t="shared" si="8"/>
        <v>0</v>
      </c>
      <c r="L17" s="85" t="e">
        <f t="shared" si="9"/>
        <v>#DIV/0!</v>
      </c>
      <c r="M17" s="81">
        <f t="shared" si="3"/>
        <v>0</v>
      </c>
      <c r="N17" s="81">
        <f t="shared" si="4"/>
        <v>0</v>
      </c>
      <c r="O17" s="82">
        <f t="shared" si="10"/>
        <v>0</v>
      </c>
      <c r="P17" s="86" t="e">
        <f t="shared" si="11"/>
        <v>#DIV/0!</v>
      </c>
      <c r="Q17" s="81">
        <f t="shared" si="5"/>
        <v>0</v>
      </c>
      <c r="R17" s="81">
        <f t="shared" si="6"/>
        <v>0</v>
      </c>
      <c r="S17" s="86" t="e">
        <f t="shared" si="12"/>
        <v>#DIV/0!</v>
      </c>
      <c r="T17" s="82">
        <f t="shared" si="7"/>
        <v>0</v>
      </c>
      <c r="U17" s="113">
        <v>723799.4</v>
      </c>
      <c r="V17" s="113">
        <v>172705.6</v>
      </c>
      <c r="W17" s="115">
        <v>654007</v>
      </c>
      <c r="X17" s="115">
        <v>178920.1</v>
      </c>
      <c r="Y17" s="115">
        <v>667260.9</v>
      </c>
      <c r="Z17" s="115">
        <v>185361.2</v>
      </c>
    </row>
    <row r="18" spans="1:26" s="83" customFormat="1" ht="18.75">
      <c r="A18" s="54" t="s">
        <v>33</v>
      </c>
      <c r="B18" s="55" t="s">
        <v>34</v>
      </c>
      <c r="C18" s="56">
        <v>1700</v>
      </c>
      <c r="D18" s="18">
        <v>3125</v>
      </c>
      <c r="E18" s="79">
        <v>3500</v>
      </c>
      <c r="F18" s="103">
        <f>4676</f>
        <v>4676</v>
      </c>
      <c r="G18" s="103">
        <f>4841.3</f>
        <v>4841.3</v>
      </c>
      <c r="H18" s="104">
        <f>5015.6</f>
        <v>5015.6</v>
      </c>
      <c r="I18" s="80">
        <f t="shared" si="1"/>
        <v>0.006460353517839335</v>
      </c>
      <c r="J18" s="80">
        <f t="shared" si="2"/>
        <v>0.02707497614437517</v>
      </c>
      <c r="K18" s="57">
        <f t="shared" si="8"/>
        <v>1176</v>
      </c>
      <c r="L18" s="85">
        <f t="shared" si="9"/>
        <v>1.336</v>
      </c>
      <c r="M18" s="81">
        <f t="shared" si="3"/>
        <v>0.007402520156512086</v>
      </c>
      <c r="N18" s="81">
        <f t="shared" si="4"/>
        <v>0.027058446759195866</v>
      </c>
      <c r="O18" s="82">
        <f t="shared" si="10"/>
        <v>165.30000000000018</v>
      </c>
      <c r="P18" s="86">
        <f t="shared" si="11"/>
        <v>1.0353507271171942</v>
      </c>
      <c r="Q18" s="81">
        <f t="shared" si="5"/>
        <v>0.0075166999894643914</v>
      </c>
      <c r="R18" s="81">
        <f t="shared" si="6"/>
        <v>0.027058521416563983</v>
      </c>
      <c r="S18" s="86">
        <f t="shared" si="12"/>
        <v>1.0360027265403922</v>
      </c>
      <c r="T18" s="82">
        <f t="shared" si="7"/>
        <v>174.30000000000018</v>
      </c>
      <c r="U18" s="113">
        <v>723799.4</v>
      </c>
      <c r="V18" s="113">
        <v>172705.6</v>
      </c>
      <c r="W18" s="115">
        <v>654007</v>
      </c>
      <c r="X18" s="115">
        <v>178920.1</v>
      </c>
      <c r="Y18" s="115">
        <v>667260.9</v>
      </c>
      <c r="Z18" s="115">
        <v>185361.2</v>
      </c>
    </row>
    <row r="19" spans="1:26" s="83" customFormat="1" ht="25.5" customHeight="1">
      <c r="A19" s="54" t="s">
        <v>35</v>
      </c>
      <c r="B19" s="55" t="s">
        <v>36</v>
      </c>
      <c r="C19" s="56">
        <v>2500</v>
      </c>
      <c r="D19" s="18">
        <v>3100</v>
      </c>
      <c r="E19" s="84">
        <v>4100</v>
      </c>
      <c r="F19" s="103">
        <v>4400</v>
      </c>
      <c r="G19" s="106">
        <v>4558</v>
      </c>
      <c r="H19" s="104">
        <v>4722.1</v>
      </c>
      <c r="I19" s="80">
        <f t="shared" si="1"/>
        <v>0.006079032394887313</v>
      </c>
      <c r="J19" s="80">
        <f t="shared" si="2"/>
        <v>0.025476880888633605</v>
      </c>
      <c r="K19" s="57">
        <f t="shared" si="8"/>
        <v>300</v>
      </c>
      <c r="L19" s="85">
        <f t="shared" si="9"/>
        <v>1.0731707317073171</v>
      </c>
      <c r="M19" s="81">
        <f t="shared" si="3"/>
        <v>0.006969344364815667</v>
      </c>
      <c r="N19" s="81">
        <f t="shared" si="4"/>
        <v>0.025475058419931577</v>
      </c>
      <c r="O19" s="82">
        <f t="shared" si="10"/>
        <v>158</v>
      </c>
      <c r="P19" s="86">
        <f t="shared" si="11"/>
        <v>1.035909090909091</v>
      </c>
      <c r="Q19" s="81">
        <f t="shared" si="5"/>
        <v>0.007076842056832643</v>
      </c>
      <c r="R19" s="81">
        <f t="shared" si="6"/>
        <v>0.025475126401857562</v>
      </c>
      <c r="S19" s="86">
        <f t="shared" si="12"/>
        <v>1.0360026327336551</v>
      </c>
      <c r="T19" s="82">
        <f t="shared" si="7"/>
        <v>164.10000000000036</v>
      </c>
      <c r="U19" s="113">
        <v>723799.4</v>
      </c>
      <c r="V19" s="113">
        <v>172705.6</v>
      </c>
      <c r="W19" s="115">
        <v>654007</v>
      </c>
      <c r="X19" s="115">
        <v>178920.1</v>
      </c>
      <c r="Y19" s="115">
        <v>667260.9</v>
      </c>
      <c r="Z19" s="115">
        <v>185361.2</v>
      </c>
    </row>
    <row r="20" spans="1:26" s="83" customFormat="1" ht="25.5" customHeight="1">
      <c r="A20" s="54" t="s">
        <v>37</v>
      </c>
      <c r="B20" s="55" t="s">
        <v>38</v>
      </c>
      <c r="C20" s="56">
        <v>200</v>
      </c>
      <c r="D20" s="18">
        <v>200</v>
      </c>
      <c r="E20" s="57">
        <v>400</v>
      </c>
      <c r="F20" s="105">
        <v>400</v>
      </c>
      <c r="G20" s="105">
        <v>415</v>
      </c>
      <c r="H20" s="105">
        <v>429.9</v>
      </c>
      <c r="I20" s="80">
        <f t="shared" si="1"/>
        <v>0.0005526393086261193</v>
      </c>
      <c r="J20" s="80">
        <f t="shared" si="2"/>
        <v>0.002316080080784873</v>
      </c>
      <c r="K20" s="57">
        <f t="shared" si="8"/>
        <v>0</v>
      </c>
      <c r="L20" s="85">
        <f t="shared" si="9"/>
        <v>1</v>
      </c>
      <c r="M20" s="81">
        <f t="shared" si="3"/>
        <v>0.000634549783106297</v>
      </c>
      <c r="N20" s="81">
        <f t="shared" si="4"/>
        <v>0.002319471093521633</v>
      </c>
      <c r="O20" s="82">
        <f t="shared" si="10"/>
        <v>15</v>
      </c>
      <c r="P20" s="86">
        <f t="shared" si="11"/>
        <v>1.0375</v>
      </c>
      <c r="Q20" s="81">
        <f t="shared" si="5"/>
        <v>0.0006442757248326704</v>
      </c>
      <c r="R20" s="81">
        <f t="shared" si="6"/>
        <v>0.002319255593943069</v>
      </c>
      <c r="S20" s="86">
        <f t="shared" si="12"/>
        <v>1.0359036144578313</v>
      </c>
      <c r="T20" s="82">
        <f t="shared" si="7"/>
        <v>14.899999999999977</v>
      </c>
      <c r="U20" s="113">
        <v>723799.4</v>
      </c>
      <c r="V20" s="113">
        <v>172705.6</v>
      </c>
      <c r="W20" s="115">
        <v>654007</v>
      </c>
      <c r="X20" s="115">
        <v>178920.1</v>
      </c>
      <c r="Y20" s="115">
        <v>667260.9</v>
      </c>
      <c r="Z20" s="115">
        <v>185361.2</v>
      </c>
    </row>
    <row r="21" spans="1:26" s="83" customFormat="1" ht="18.75">
      <c r="A21" s="54" t="s">
        <v>39</v>
      </c>
      <c r="B21" s="55" t="s">
        <v>40</v>
      </c>
      <c r="C21" s="56">
        <v>431.6</v>
      </c>
      <c r="D21" s="18">
        <v>1139.9</v>
      </c>
      <c r="E21" s="79">
        <v>872</v>
      </c>
      <c r="F21" s="103">
        <f>660</f>
        <v>660</v>
      </c>
      <c r="G21" s="103">
        <f>684</f>
        <v>684</v>
      </c>
      <c r="H21" s="104">
        <f>708.6</f>
        <v>708.6</v>
      </c>
      <c r="I21" s="80">
        <f t="shared" si="1"/>
        <v>0.0009118548592330969</v>
      </c>
      <c r="J21" s="80">
        <f t="shared" si="2"/>
        <v>0.0038215321332950407</v>
      </c>
      <c r="K21" s="57">
        <f t="shared" si="8"/>
        <v>-212</v>
      </c>
      <c r="L21" s="85">
        <f t="shared" si="9"/>
        <v>0.7568807339449541</v>
      </c>
      <c r="M21" s="81">
        <f t="shared" si="3"/>
        <v>0.001045860365408933</v>
      </c>
      <c r="N21" s="81">
        <f t="shared" si="4"/>
        <v>0.003822935489081439</v>
      </c>
      <c r="O21" s="82">
        <f t="shared" si="10"/>
        <v>24</v>
      </c>
      <c r="P21" s="86">
        <f t="shared" si="11"/>
        <v>1.0363636363636364</v>
      </c>
      <c r="Q21" s="81">
        <f t="shared" si="5"/>
        <v>0.0010619534278121197</v>
      </c>
      <c r="R21" s="81">
        <f t="shared" si="6"/>
        <v>0.0038228064988789453</v>
      </c>
      <c r="S21" s="86">
        <f t="shared" si="12"/>
        <v>1.0359649122807018</v>
      </c>
      <c r="T21" s="82">
        <f t="shared" si="7"/>
        <v>24.600000000000023</v>
      </c>
      <c r="U21" s="113">
        <v>723799.4</v>
      </c>
      <c r="V21" s="113">
        <v>172705.6</v>
      </c>
      <c r="W21" s="115">
        <v>654007</v>
      </c>
      <c r="X21" s="115">
        <v>178920.1</v>
      </c>
      <c r="Y21" s="115">
        <v>667260.9</v>
      </c>
      <c r="Z21" s="115">
        <v>185361.2</v>
      </c>
    </row>
    <row r="22" spans="1:26" s="83" customFormat="1" ht="18.75">
      <c r="A22" s="54" t="s">
        <v>41</v>
      </c>
      <c r="B22" s="55" t="s">
        <v>42</v>
      </c>
      <c r="C22" s="56">
        <v>3701.3</v>
      </c>
      <c r="D22" s="18">
        <v>0</v>
      </c>
      <c r="E22" s="57">
        <v>0</v>
      </c>
      <c r="F22" s="105">
        <v>0</v>
      </c>
      <c r="G22" s="105"/>
      <c r="H22" s="105"/>
      <c r="I22" s="80">
        <f t="shared" si="1"/>
        <v>0</v>
      </c>
      <c r="J22" s="80">
        <f t="shared" si="2"/>
        <v>0</v>
      </c>
      <c r="K22" s="57">
        <f t="shared" si="8"/>
        <v>0</v>
      </c>
      <c r="L22" s="85" t="e">
        <f t="shared" si="9"/>
        <v>#DIV/0!</v>
      </c>
      <c r="M22" s="81">
        <f t="shared" si="3"/>
        <v>0</v>
      </c>
      <c r="N22" s="81">
        <f t="shared" si="4"/>
        <v>0</v>
      </c>
      <c r="O22" s="82">
        <f t="shared" si="10"/>
        <v>0</v>
      </c>
      <c r="P22" s="86" t="e">
        <f t="shared" si="11"/>
        <v>#DIV/0!</v>
      </c>
      <c r="Q22" s="81">
        <f t="shared" si="5"/>
        <v>0</v>
      </c>
      <c r="R22" s="81">
        <f t="shared" si="6"/>
        <v>0</v>
      </c>
      <c r="S22" s="86" t="e">
        <f t="shared" si="12"/>
        <v>#DIV/0!</v>
      </c>
      <c r="T22" s="82">
        <f t="shared" si="7"/>
        <v>0</v>
      </c>
      <c r="U22" s="113">
        <v>723799.4</v>
      </c>
      <c r="V22" s="113">
        <v>172705.6</v>
      </c>
      <c r="W22" s="115">
        <v>654007</v>
      </c>
      <c r="X22" s="115">
        <v>178920.1</v>
      </c>
      <c r="Y22" s="115">
        <v>667260.9</v>
      </c>
      <c r="Z22" s="115">
        <v>185361.2</v>
      </c>
    </row>
    <row r="23" spans="1:26" s="83" customFormat="1" ht="18.75">
      <c r="A23" s="54" t="s">
        <v>43</v>
      </c>
      <c r="B23" s="55" t="s">
        <v>44</v>
      </c>
      <c r="C23" s="56">
        <v>150</v>
      </c>
      <c r="D23" s="18">
        <v>100</v>
      </c>
      <c r="E23" s="79">
        <v>700</v>
      </c>
      <c r="F23" s="103">
        <f>700</f>
        <v>700</v>
      </c>
      <c r="G23" s="103">
        <f>725</f>
        <v>725</v>
      </c>
      <c r="H23" s="104">
        <f>751.1</f>
        <v>751.1</v>
      </c>
      <c r="I23" s="80">
        <f t="shared" si="1"/>
        <v>0.0009671187900957088</v>
      </c>
      <c r="J23" s="80">
        <f t="shared" si="2"/>
        <v>0.004053140141373528</v>
      </c>
      <c r="K23" s="57">
        <f t="shared" si="8"/>
        <v>0</v>
      </c>
      <c r="L23" s="85">
        <f t="shared" si="9"/>
        <v>1</v>
      </c>
      <c r="M23" s="81">
        <f t="shared" si="3"/>
        <v>0.0011085508259085911</v>
      </c>
      <c r="N23" s="81">
        <f t="shared" si="4"/>
        <v>0.004052088054947432</v>
      </c>
      <c r="O23" s="82">
        <f t="shared" si="10"/>
        <v>25</v>
      </c>
      <c r="P23" s="86">
        <f t="shared" si="11"/>
        <v>1.0357142857142858</v>
      </c>
      <c r="Q23" s="81">
        <f t="shared" si="5"/>
        <v>0.0011256466548541957</v>
      </c>
      <c r="R23" s="81">
        <f t="shared" si="6"/>
        <v>0.004052088570855174</v>
      </c>
      <c r="S23" s="86">
        <f t="shared" si="12"/>
        <v>1.036</v>
      </c>
      <c r="T23" s="82">
        <f t="shared" si="7"/>
        <v>26.100000000000023</v>
      </c>
      <c r="U23" s="113">
        <v>723799.4</v>
      </c>
      <c r="V23" s="113">
        <v>172705.6</v>
      </c>
      <c r="W23" s="115">
        <v>654007</v>
      </c>
      <c r="X23" s="115">
        <v>178920.1</v>
      </c>
      <c r="Y23" s="115">
        <v>667260.9</v>
      </c>
      <c r="Z23" s="115">
        <v>185361.2</v>
      </c>
    </row>
    <row r="24" spans="1:26" s="83" customFormat="1" ht="18.75">
      <c r="A24" s="54" t="s">
        <v>45</v>
      </c>
      <c r="B24" s="55" t="s">
        <v>186</v>
      </c>
      <c r="C24" s="56">
        <v>1947.7</v>
      </c>
      <c r="D24" s="18">
        <v>1885</v>
      </c>
      <c r="E24" s="79">
        <v>2422</v>
      </c>
      <c r="F24" s="103">
        <f>493.3+1446</f>
        <v>1939.3</v>
      </c>
      <c r="G24" s="103">
        <f>511+1498</f>
        <v>2009</v>
      </c>
      <c r="H24" s="104">
        <f>529.4+1551.9</f>
        <v>2081.3</v>
      </c>
      <c r="I24" s="80">
        <f t="shared" si="1"/>
        <v>0.002679333528046583</v>
      </c>
      <c r="J24" s="80">
        <f t="shared" si="2"/>
        <v>0.01122893525166526</v>
      </c>
      <c r="K24" s="57">
        <f t="shared" si="8"/>
        <v>-482.70000000000005</v>
      </c>
      <c r="L24" s="85">
        <f t="shared" si="9"/>
        <v>0.8007018992568126</v>
      </c>
      <c r="M24" s="81">
        <f t="shared" si="3"/>
        <v>0.003071832564483255</v>
      </c>
      <c r="N24" s="81">
        <f t="shared" si="4"/>
        <v>0.011228475727433641</v>
      </c>
      <c r="O24" s="82">
        <f t="shared" si="10"/>
        <v>69.70000000000005</v>
      </c>
      <c r="P24" s="86">
        <f t="shared" si="11"/>
        <v>1.0359408033826638</v>
      </c>
      <c r="Q24" s="81">
        <f t="shared" si="5"/>
        <v>0.0031191697280628914</v>
      </c>
      <c r="R24" s="81">
        <f t="shared" si="6"/>
        <v>0.011228347680097022</v>
      </c>
      <c r="S24" s="86">
        <f t="shared" si="12"/>
        <v>1.0359880537580888</v>
      </c>
      <c r="T24" s="82">
        <f t="shared" si="7"/>
        <v>72.30000000000018</v>
      </c>
      <c r="U24" s="113">
        <v>723799.4</v>
      </c>
      <c r="V24" s="113">
        <v>172705.6</v>
      </c>
      <c r="W24" s="115">
        <v>654007</v>
      </c>
      <c r="X24" s="115">
        <v>178920.1</v>
      </c>
      <c r="Y24" s="115">
        <v>667260.9</v>
      </c>
      <c r="Z24" s="115">
        <v>185361.2</v>
      </c>
    </row>
    <row r="25" spans="1:26" s="89" customFormat="1" ht="27" customHeight="1">
      <c r="A25" s="15" t="s">
        <v>46</v>
      </c>
      <c r="B25" s="16" t="s">
        <v>47</v>
      </c>
      <c r="C25" s="14">
        <v>603</v>
      </c>
      <c r="D25" s="18">
        <v>710</v>
      </c>
      <c r="E25" s="53">
        <v>866.5</v>
      </c>
      <c r="F25" s="53">
        <v>866.5</v>
      </c>
      <c r="G25" s="53"/>
      <c r="H25" s="53"/>
      <c r="I25" s="85">
        <f t="shared" si="1"/>
        <v>0.0011971549023113309</v>
      </c>
      <c r="J25" s="53">
        <f>F25/F9*100</f>
        <v>0.5017208475000232</v>
      </c>
      <c r="K25" s="53">
        <f t="shared" si="8"/>
        <v>0</v>
      </c>
      <c r="L25" s="75">
        <f t="shared" si="9"/>
        <v>1</v>
      </c>
      <c r="M25" s="86">
        <f t="shared" si="3"/>
        <v>0</v>
      </c>
      <c r="N25" s="87"/>
      <c r="O25" s="88">
        <f t="shared" si="10"/>
        <v>-866.5</v>
      </c>
      <c r="P25" s="76">
        <f t="shared" si="11"/>
        <v>0</v>
      </c>
      <c r="Q25" s="86">
        <f t="shared" si="5"/>
        <v>0</v>
      </c>
      <c r="R25" s="86">
        <f t="shared" si="6"/>
        <v>0</v>
      </c>
      <c r="S25" s="76" t="e">
        <f t="shared" si="12"/>
        <v>#DIV/0!</v>
      </c>
      <c r="T25" s="88">
        <f t="shared" si="7"/>
        <v>0</v>
      </c>
      <c r="U25" s="113">
        <v>723799.4</v>
      </c>
      <c r="V25" s="113">
        <v>172705.6</v>
      </c>
      <c r="W25" s="115">
        <v>654007</v>
      </c>
      <c r="X25" s="115">
        <v>178920.1</v>
      </c>
      <c r="Y25" s="115">
        <v>667260.9</v>
      </c>
      <c r="Z25" s="115">
        <v>185361.2</v>
      </c>
    </row>
    <row r="26" spans="1:26" s="78" customFormat="1" ht="33" customHeight="1">
      <c r="A26" s="42" t="s">
        <v>48</v>
      </c>
      <c r="B26" s="43" t="s">
        <v>49</v>
      </c>
      <c r="C26" s="44">
        <f aca="true" t="shared" si="13" ref="C26:H26">C27+C29+C28+C30</f>
        <v>484089.5</v>
      </c>
      <c r="D26" s="45">
        <f t="shared" si="13"/>
        <v>470182.5</v>
      </c>
      <c r="E26" s="74">
        <f>E27+E29+E28+E30</f>
        <v>514482</v>
      </c>
      <c r="F26" s="74">
        <f t="shared" si="13"/>
        <v>551093.7999999999</v>
      </c>
      <c r="G26" s="74">
        <f t="shared" si="13"/>
        <v>475086.9</v>
      </c>
      <c r="H26" s="74">
        <f t="shared" si="13"/>
        <v>481899.7</v>
      </c>
      <c r="I26" s="75">
        <f t="shared" si="1"/>
        <v>0.7613902415503521</v>
      </c>
      <c r="J26" s="74" t="s">
        <v>50</v>
      </c>
      <c r="K26" s="74">
        <f t="shared" si="8"/>
        <v>36611.79999999993</v>
      </c>
      <c r="L26" s="75">
        <f t="shared" si="9"/>
        <v>1.0711624507757316</v>
      </c>
      <c r="M26" s="76">
        <f t="shared" si="3"/>
        <v>0.7264247936184169</v>
      </c>
      <c r="N26" s="74" t="s">
        <v>50</v>
      </c>
      <c r="O26" s="77">
        <f t="shared" si="10"/>
        <v>-76006.8999999999</v>
      </c>
      <c r="P26" s="76">
        <f t="shared" si="11"/>
        <v>0.8620799217846401</v>
      </c>
      <c r="Q26" s="76">
        <f t="shared" si="5"/>
        <v>0.7222058118496079</v>
      </c>
      <c r="R26" s="74" t="s">
        <v>50</v>
      </c>
      <c r="S26" s="76">
        <f t="shared" si="12"/>
        <v>1.0143401133561039</v>
      </c>
      <c r="T26" s="77">
        <f t="shared" si="7"/>
        <v>6812.799999999988</v>
      </c>
      <c r="U26" s="113">
        <v>723799.4</v>
      </c>
      <c r="V26" s="113">
        <v>172705.6</v>
      </c>
      <c r="W26" s="115">
        <v>654007</v>
      </c>
      <c r="X26" s="115">
        <v>178920.1</v>
      </c>
      <c r="Y26" s="115">
        <v>667260.9</v>
      </c>
      <c r="Z26" s="115">
        <v>185361.2</v>
      </c>
    </row>
    <row r="27" spans="1:26" s="17" customFormat="1" ht="27.75" customHeight="1">
      <c r="A27" s="12" t="s">
        <v>191</v>
      </c>
      <c r="B27" s="13" t="s">
        <v>13</v>
      </c>
      <c r="C27" s="14">
        <v>141911.7</v>
      </c>
      <c r="D27" s="18">
        <v>82161.1</v>
      </c>
      <c r="E27" s="53">
        <v>138965</v>
      </c>
      <c r="F27" s="107">
        <f>(105262.6+33602.7)</f>
        <v>138865.3</v>
      </c>
      <c r="G27" s="108">
        <f>(82320.4+0)</f>
        <v>82320.4</v>
      </c>
      <c r="H27" s="109">
        <f>(65261.4+0)</f>
        <v>65261.4</v>
      </c>
      <c r="I27" s="85">
        <f t="shared" si="1"/>
        <v>0.1918560584603966</v>
      </c>
      <c r="J27" s="53" t="s">
        <v>50</v>
      </c>
      <c r="K27" s="53">
        <f t="shared" si="8"/>
        <v>-99.70000000001164</v>
      </c>
      <c r="L27" s="85">
        <f t="shared" si="9"/>
        <v>0.9992825531608678</v>
      </c>
      <c r="M27" s="86">
        <f t="shared" si="3"/>
        <v>0.125870824012587</v>
      </c>
      <c r="N27" s="53" t="s">
        <v>50</v>
      </c>
      <c r="O27" s="88">
        <f t="shared" si="10"/>
        <v>-56544.899999999994</v>
      </c>
      <c r="P27" s="86">
        <f t="shared" si="11"/>
        <v>0.5928075624364042</v>
      </c>
      <c r="Q27" s="86">
        <f t="shared" si="5"/>
        <v>0.09780492158314687</v>
      </c>
      <c r="R27" s="53" t="s">
        <v>50</v>
      </c>
      <c r="S27" s="86">
        <f t="shared" si="12"/>
        <v>0.7927731157768914</v>
      </c>
      <c r="T27" s="88">
        <f t="shared" si="7"/>
        <v>-17058.999999999993</v>
      </c>
      <c r="U27" s="113">
        <v>723799.4</v>
      </c>
      <c r="V27" s="113">
        <v>172705.6</v>
      </c>
      <c r="W27" s="115">
        <v>654007</v>
      </c>
      <c r="X27" s="115">
        <v>178920.1</v>
      </c>
      <c r="Y27" s="115">
        <v>667260.9</v>
      </c>
      <c r="Z27" s="115">
        <v>185361.2</v>
      </c>
    </row>
    <row r="28" spans="1:26" s="17" customFormat="1" ht="35.25" customHeight="1">
      <c r="A28" s="12" t="s">
        <v>192</v>
      </c>
      <c r="B28" s="13" t="s">
        <v>51</v>
      </c>
      <c r="C28" s="14">
        <v>43538.9</v>
      </c>
      <c r="D28" s="18">
        <v>17264</v>
      </c>
      <c r="E28" s="53">
        <v>25469</v>
      </c>
      <c r="F28" s="107">
        <f>(9091.5+14195+14227.6+11796)</f>
        <v>49310.1</v>
      </c>
      <c r="G28" s="108">
        <f>(0+15930+0+0)</f>
        <v>15930</v>
      </c>
      <c r="H28" s="109">
        <f>(0+17084+0+0)</f>
        <v>17084</v>
      </c>
      <c r="I28" s="85">
        <f t="shared" si="1"/>
        <v>0.06812674893071201</v>
      </c>
      <c r="J28" s="53" t="s">
        <v>50</v>
      </c>
      <c r="K28" s="53">
        <f t="shared" si="8"/>
        <v>23841.1</v>
      </c>
      <c r="L28" s="85">
        <f t="shared" si="9"/>
        <v>1.936083081393066</v>
      </c>
      <c r="M28" s="86">
        <f t="shared" si="3"/>
        <v>0.02435753745755015</v>
      </c>
      <c r="N28" s="53" t="s">
        <v>50</v>
      </c>
      <c r="O28" s="88">
        <f t="shared" si="10"/>
        <v>-33380.1</v>
      </c>
      <c r="P28" s="86">
        <f t="shared" si="11"/>
        <v>0.3230575480479658</v>
      </c>
      <c r="Q28" s="86">
        <f t="shared" si="5"/>
        <v>0.025603178606748874</v>
      </c>
      <c r="R28" s="53" t="s">
        <v>50</v>
      </c>
      <c r="S28" s="86">
        <f t="shared" si="12"/>
        <v>1.0724419334588826</v>
      </c>
      <c r="T28" s="88">
        <f t="shared" si="7"/>
        <v>1154</v>
      </c>
      <c r="U28" s="113">
        <v>723799.4</v>
      </c>
      <c r="V28" s="113">
        <v>172705.6</v>
      </c>
      <c r="W28" s="115">
        <v>654007</v>
      </c>
      <c r="X28" s="115">
        <v>178920.1</v>
      </c>
      <c r="Y28" s="115">
        <v>667260.9</v>
      </c>
      <c r="Z28" s="115">
        <v>185361.2</v>
      </c>
    </row>
    <row r="29" spans="1:26" s="17" customFormat="1" ht="26.25" customHeight="1">
      <c r="A29" s="12" t="s">
        <v>193</v>
      </c>
      <c r="B29" s="13" t="s">
        <v>52</v>
      </c>
      <c r="C29" s="14">
        <v>268830.8</v>
      </c>
      <c r="D29" s="18">
        <v>362479.4</v>
      </c>
      <c r="E29" s="53">
        <v>343157</v>
      </c>
      <c r="F29" s="107">
        <f>(14727.3+618.7+4748+732.8+354.9+6411.9+355+92161.6+237862.8+811.3+59.8+607.1+213+2575.5+212.8+224.9+48.7+1.3)</f>
        <v>362727.39999999997</v>
      </c>
      <c r="G29" s="107">
        <f>(15272.2+639.4+4748+732.8+367+5880.4+326.4+95092.7+248668.9+838.8+59.8+627.8+219.9+2669.9+219.7+231.8+48.7+1.3)</f>
        <v>376645.5</v>
      </c>
      <c r="H29" s="110">
        <f>(15837.3+659.9+4748+732.8+378.5+5366.6+298+101297.5+264973.9+865.9+60.4+648.1+226.8+2754.1+226.7+238.8+48.7+1.3)</f>
        <v>399363.3</v>
      </c>
      <c r="I29" s="85">
        <f t="shared" si="1"/>
        <v>0.5011435488893745</v>
      </c>
      <c r="J29" s="53" t="s">
        <v>50</v>
      </c>
      <c r="K29" s="53">
        <f t="shared" si="8"/>
        <v>19570.399999999965</v>
      </c>
      <c r="L29" s="85">
        <f t="shared" si="9"/>
        <v>1.0570304554475065</v>
      </c>
      <c r="M29" s="86">
        <f t="shared" si="3"/>
        <v>0.5759043863444887</v>
      </c>
      <c r="N29" s="53" t="s">
        <v>50</v>
      </c>
      <c r="O29" s="88">
        <f t="shared" si="10"/>
        <v>13918.100000000035</v>
      </c>
      <c r="P29" s="86">
        <f t="shared" si="11"/>
        <v>1.0383706882909867</v>
      </c>
      <c r="Q29" s="86">
        <f t="shared" si="5"/>
        <v>0.5985114668040642</v>
      </c>
      <c r="R29" s="53" t="s">
        <v>50</v>
      </c>
      <c r="S29" s="86">
        <f t="shared" si="12"/>
        <v>1.060316132809233</v>
      </c>
      <c r="T29" s="88">
        <f t="shared" si="7"/>
        <v>22717.79999999999</v>
      </c>
      <c r="U29" s="113">
        <v>723799.4</v>
      </c>
      <c r="V29" s="113">
        <v>172705.6</v>
      </c>
      <c r="W29" s="115">
        <v>654007</v>
      </c>
      <c r="X29" s="115">
        <v>178920.1</v>
      </c>
      <c r="Y29" s="115">
        <v>667260.9</v>
      </c>
      <c r="Z29" s="115">
        <v>185361.2</v>
      </c>
    </row>
    <row r="30" spans="1:26" s="17" customFormat="1" ht="52.5" customHeight="1">
      <c r="A30" s="12" t="s">
        <v>194</v>
      </c>
      <c r="B30" s="13" t="s">
        <v>6</v>
      </c>
      <c r="C30" s="14">
        <f>29808.1</f>
        <v>29808.1</v>
      </c>
      <c r="D30" s="18">
        <f>8258.3+19.7</f>
        <v>8278</v>
      </c>
      <c r="E30" s="53">
        <v>6891</v>
      </c>
      <c r="F30" s="107">
        <f aca="true" t="shared" si="14" ref="F30:H31">(191)+0</f>
        <v>191</v>
      </c>
      <c r="G30" s="107">
        <f t="shared" si="14"/>
        <v>191</v>
      </c>
      <c r="H30" s="110">
        <f t="shared" si="14"/>
        <v>191</v>
      </c>
      <c r="I30" s="85">
        <f t="shared" si="1"/>
        <v>0.00026388526986897195</v>
      </c>
      <c r="J30" s="53" t="s">
        <v>50</v>
      </c>
      <c r="K30" s="53">
        <f t="shared" si="8"/>
        <v>-6700</v>
      </c>
      <c r="L30" s="85">
        <f t="shared" si="9"/>
        <v>0.02771731243651139</v>
      </c>
      <c r="M30" s="86">
        <f t="shared" si="3"/>
        <v>0.0002920458037910909</v>
      </c>
      <c r="N30" s="53" t="s">
        <v>50</v>
      </c>
      <c r="O30" s="88">
        <f t="shared" si="10"/>
        <v>0</v>
      </c>
      <c r="P30" s="86">
        <f t="shared" si="11"/>
        <v>1</v>
      </c>
      <c r="Q30" s="86">
        <f t="shared" si="5"/>
        <v>0.0002862448556479182</v>
      </c>
      <c r="R30" s="53" t="s">
        <v>50</v>
      </c>
      <c r="S30" s="86">
        <f t="shared" si="12"/>
        <v>1</v>
      </c>
      <c r="T30" s="88">
        <f t="shared" si="7"/>
        <v>0</v>
      </c>
      <c r="U30" s="113">
        <v>723799.4</v>
      </c>
      <c r="V30" s="113">
        <v>172705.6</v>
      </c>
      <c r="W30" s="115">
        <v>654007</v>
      </c>
      <c r="X30" s="115">
        <v>178920.1</v>
      </c>
      <c r="Y30" s="115">
        <v>667260.9</v>
      </c>
      <c r="Z30" s="115">
        <v>185361.2</v>
      </c>
    </row>
    <row r="31" spans="1:26" s="17" customFormat="1" ht="37.5">
      <c r="A31" s="12"/>
      <c r="B31" s="13" t="s">
        <v>53</v>
      </c>
      <c r="C31" s="14">
        <f>22656.9</f>
        <v>22656.9</v>
      </c>
      <c r="D31" s="18">
        <f>8258.3</f>
        <v>8258.3</v>
      </c>
      <c r="E31" s="53">
        <v>6891</v>
      </c>
      <c r="F31" s="107">
        <f t="shared" si="14"/>
        <v>191</v>
      </c>
      <c r="G31" s="107">
        <f t="shared" si="14"/>
        <v>191</v>
      </c>
      <c r="H31" s="110">
        <f t="shared" si="14"/>
        <v>191</v>
      </c>
      <c r="I31" s="85">
        <f t="shared" si="1"/>
        <v>0.00026388526986897195</v>
      </c>
      <c r="J31" s="53" t="s">
        <v>50</v>
      </c>
      <c r="K31" s="53">
        <f t="shared" si="8"/>
        <v>-6700</v>
      </c>
      <c r="L31" s="85">
        <f t="shared" si="9"/>
        <v>0.02771731243651139</v>
      </c>
      <c r="M31" s="86">
        <f t="shared" si="3"/>
        <v>0.0002920458037910909</v>
      </c>
      <c r="N31" s="53" t="s">
        <v>50</v>
      </c>
      <c r="O31" s="88">
        <f t="shared" si="10"/>
        <v>0</v>
      </c>
      <c r="P31" s="86">
        <f t="shared" si="11"/>
        <v>1</v>
      </c>
      <c r="Q31" s="86">
        <f t="shared" si="5"/>
        <v>0.0002862448556479182</v>
      </c>
      <c r="R31" s="53" t="s">
        <v>50</v>
      </c>
      <c r="S31" s="86">
        <f t="shared" si="12"/>
        <v>1</v>
      </c>
      <c r="T31" s="88">
        <f t="shared" si="7"/>
        <v>0</v>
      </c>
      <c r="U31" s="113">
        <v>723799.4</v>
      </c>
      <c r="V31" s="113">
        <v>172705.6</v>
      </c>
      <c r="W31" s="115">
        <v>654007</v>
      </c>
      <c r="X31" s="115">
        <v>178920.1</v>
      </c>
      <c r="Y31" s="115">
        <v>667260.9</v>
      </c>
      <c r="Z31" s="115">
        <v>185361.2</v>
      </c>
    </row>
    <row r="32" spans="1:26" s="78" customFormat="1" ht="28.5" customHeight="1">
      <c r="A32" s="42"/>
      <c r="B32" s="43" t="s">
        <v>54</v>
      </c>
      <c r="C32" s="44">
        <f aca="true" t="shared" si="15" ref="C32:H32">C9+C26</f>
        <v>635112.4</v>
      </c>
      <c r="D32" s="45">
        <f t="shared" si="15"/>
        <v>610709.8</v>
      </c>
      <c r="E32" s="74">
        <f>E9+E26</f>
        <v>684592.4</v>
      </c>
      <c r="F32" s="74">
        <f t="shared" si="15"/>
        <v>723799.3999999999</v>
      </c>
      <c r="G32" s="74">
        <f t="shared" si="15"/>
        <v>654007</v>
      </c>
      <c r="H32" s="74">
        <f t="shared" si="15"/>
        <v>667260.9</v>
      </c>
      <c r="I32" s="75">
        <f t="shared" si="1"/>
        <v>0.9999999999999999</v>
      </c>
      <c r="J32" s="74" t="s">
        <v>50</v>
      </c>
      <c r="K32" s="74">
        <f t="shared" si="8"/>
        <v>39206.99999999988</v>
      </c>
      <c r="L32" s="75">
        <f t="shared" si="9"/>
        <v>1.057270574432319</v>
      </c>
      <c r="M32" s="76">
        <f t="shared" si="3"/>
        <v>1</v>
      </c>
      <c r="N32" s="74" t="s">
        <v>50</v>
      </c>
      <c r="O32" s="77">
        <f t="shared" si="10"/>
        <v>-69792.3999999999</v>
      </c>
      <c r="P32" s="76">
        <f t="shared" si="11"/>
        <v>0.9035749407916062</v>
      </c>
      <c r="Q32" s="76">
        <f t="shared" si="5"/>
        <v>1</v>
      </c>
      <c r="R32" s="74" t="s">
        <v>50</v>
      </c>
      <c r="S32" s="76">
        <f t="shared" si="12"/>
        <v>1.0202656852296688</v>
      </c>
      <c r="T32" s="77">
        <f t="shared" si="7"/>
        <v>13253.900000000023</v>
      </c>
      <c r="U32" s="113">
        <v>723799.4</v>
      </c>
      <c r="V32" s="113">
        <v>172705.6</v>
      </c>
      <c r="W32" s="115">
        <v>654007</v>
      </c>
      <c r="X32" s="115">
        <v>178920.1</v>
      </c>
      <c r="Y32" s="115">
        <v>667260.9</v>
      </c>
      <c r="Z32" s="115">
        <v>185361.2</v>
      </c>
    </row>
    <row r="33" spans="1:26" s="17" customFormat="1" ht="26.25" customHeight="1">
      <c r="A33" s="13"/>
      <c r="B33" s="13" t="s">
        <v>55</v>
      </c>
      <c r="C33" s="14">
        <f aca="true" t="shared" si="16" ref="C33:H33">C9</f>
        <v>151022.9</v>
      </c>
      <c r="D33" s="18">
        <f t="shared" si="16"/>
        <v>140527.3</v>
      </c>
      <c r="E33" s="53">
        <f t="shared" si="16"/>
        <v>170110.4</v>
      </c>
      <c r="F33" s="53">
        <f t="shared" si="16"/>
        <v>172705.59999999998</v>
      </c>
      <c r="G33" s="53">
        <f t="shared" si="16"/>
        <v>178920.09999999998</v>
      </c>
      <c r="H33" s="53">
        <f t="shared" si="16"/>
        <v>185361.2</v>
      </c>
      <c r="I33" s="85">
        <f t="shared" si="1"/>
        <v>0.23860975844964774</v>
      </c>
      <c r="J33" s="53" t="s">
        <v>50</v>
      </c>
      <c r="K33" s="53">
        <f t="shared" si="8"/>
        <v>2595.1999999999825</v>
      </c>
      <c r="L33" s="75">
        <f t="shared" si="9"/>
        <v>1.0152559749433308</v>
      </c>
      <c r="M33" s="86">
        <f t="shared" si="3"/>
        <v>0.27357520638158306</v>
      </c>
      <c r="N33" s="53" t="s">
        <v>50</v>
      </c>
      <c r="O33" s="88">
        <f t="shared" si="10"/>
        <v>6214.5</v>
      </c>
      <c r="P33" s="76">
        <f t="shared" si="11"/>
        <v>1.035983199155094</v>
      </c>
      <c r="Q33" s="86">
        <f t="shared" si="5"/>
        <v>0.27779418815039214</v>
      </c>
      <c r="R33" s="53" t="s">
        <v>50</v>
      </c>
      <c r="S33" s="76">
        <f t="shared" si="12"/>
        <v>1.0359998680975477</v>
      </c>
      <c r="T33" s="88">
        <f t="shared" si="7"/>
        <v>6441.100000000035</v>
      </c>
      <c r="U33" s="113">
        <v>723799.4</v>
      </c>
      <c r="V33" s="113">
        <v>172705.6</v>
      </c>
      <c r="W33" s="115">
        <v>654007</v>
      </c>
      <c r="X33" s="115">
        <v>178920.1</v>
      </c>
      <c r="Y33" s="115">
        <v>667260.9</v>
      </c>
      <c r="Z33" s="115">
        <v>185361.2</v>
      </c>
    </row>
    <row r="34" spans="1:26" s="17" customFormat="1" ht="29.25" customHeight="1">
      <c r="A34" s="13"/>
      <c r="B34" s="13" t="s">
        <v>56</v>
      </c>
      <c r="C34" s="14">
        <f aca="true" t="shared" si="17" ref="C34:H34">C31</f>
        <v>22656.9</v>
      </c>
      <c r="D34" s="18">
        <f t="shared" si="17"/>
        <v>8258.3</v>
      </c>
      <c r="E34" s="53">
        <f t="shared" si="17"/>
        <v>6891</v>
      </c>
      <c r="F34" s="53">
        <f t="shared" si="17"/>
        <v>191</v>
      </c>
      <c r="G34" s="53">
        <f t="shared" si="17"/>
        <v>191</v>
      </c>
      <c r="H34" s="53">
        <f t="shared" si="17"/>
        <v>191</v>
      </c>
      <c r="I34" s="85">
        <f t="shared" si="1"/>
        <v>0.00026388526986897195</v>
      </c>
      <c r="J34" s="53" t="s">
        <v>50</v>
      </c>
      <c r="K34" s="53">
        <f t="shared" si="8"/>
        <v>-6700</v>
      </c>
      <c r="L34" s="85">
        <f t="shared" si="9"/>
        <v>0.02771731243651139</v>
      </c>
      <c r="M34" s="86">
        <f t="shared" si="3"/>
        <v>0.0002920458037910909</v>
      </c>
      <c r="N34" s="53" t="s">
        <v>50</v>
      </c>
      <c r="O34" s="88">
        <f t="shared" si="10"/>
        <v>0</v>
      </c>
      <c r="P34" s="86">
        <f t="shared" si="11"/>
        <v>1</v>
      </c>
      <c r="Q34" s="86">
        <f t="shared" si="5"/>
        <v>0.0002862448556479182</v>
      </c>
      <c r="R34" s="53" t="s">
        <v>50</v>
      </c>
      <c r="S34" s="86">
        <f t="shared" si="12"/>
        <v>1</v>
      </c>
      <c r="T34" s="88">
        <f t="shared" si="7"/>
        <v>0</v>
      </c>
      <c r="U34" s="113">
        <v>723799.4</v>
      </c>
      <c r="V34" s="113">
        <v>172705.6</v>
      </c>
      <c r="W34" s="115">
        <v>654007</v>
      </c>
      <c r="X34" s="115">
        <v>178920.1</v>
      </c>
      <c r="Y34" s="115">
        <v>667260.9</v>
      </c>
      <c r="Z34" s="115">
        <v>185361.2</v>
      </c>
    </row>
    <row r="35" spans="1:26" s="17" customFormat="1" ht="19.5">
      <c r="A35" s="13"/>
      <c r="B35" s="13" t="s">
        <v>57</v>
      </c>
      <c r="C35" s="14">
        <f aca="true" t="shared" si="18" ref="C35:H35">C32-C34</f>
        <v>612455.5</v>
      </c>
      <c r="D35" s="18">
        <f t="shared" si="18"/>
        <v>602451.5</v>
      </c>
      <c r="E35" s="53">
        <f>E32-E34</f>
        <v>677701.4</v>
      </c>
      <c r="F35" s="53">
        <f t="shared" si="18"/>
        <v>723608.3999999999</v>
      </c>
      <c r="G35" s="53">
        <f t="shared" si="18"/>
        <v>653816</v>
      </c>
      <c r="H35" s="53">
        <f t="shared" si="18"/>
        <v>667069.9</v>
      </c>
      <c r="I35" s="85">
        <f t="shared" si="1"/>
        <v>0.9997361147301309</v>
      </c>
      <c r="J35" s="53" t="s">
        <v>50</v>
      </c>
      <c r="K35" s="53">
        <f t="shared" si="8"/>
        <v>45906.99999999988</v>
      </c>
      <c r="L35" s="85">
        <f t="shared" si="9"/>
        <v>1.0677392727829689</v>
      </c>
      <c r="M35" s="86">
        <f t="shared" si="3"/>
        <v>0.999707954196209</v>
      </c>
      <c r="N35" s="53" t="s">
        <v>50</v>
      </c>
      <c r="O35" s="88">
        <f t="shared" si="10"/>
        <v>-69792.3999999999</v>
      </c>
      <c r="P35" s="86">
        <f t="shared" si="11"/>
        <v>0.9035494889224615</v>
      </c>
      <c r="Q35" s="86">
        <f t="shared" si="5"/>
        <v>0.9997137551443521</v>
      </c>
      <c r="R35" s="53" t="s">
        <v>50</v>
      </c>
      <c r="S35" s="86">
        <f t="shared" si="12"/>
        <v>1.0202716054669816</v>
      </c>
      <c r="T35" s="88">
        <f t="shared" si="7"/>
        <v>13253.900000000023</v>
      </c>
      <c r="U35" s="113">
        <v>723799.4</v>
      </c>
      <c r="V35" s="113">
        <v>172705.6</v>
      </c>
      <c r="W35" s="115">
        <v>654007</v>
      </c>
      <c r="X35" s="115">
        <v>178920.1</v>
      </c>
      <c r="Y35" s="115">
        <v>667260.9</v>
      </c>
      <c r="Z35" s="115">
        <v>185361.2</v>
      </c>
    </row>
    <row r="36" spans="4:26" s="17" customFormat="1" ht="18.75">
      <c r="D36" s="19"/>
      <c r="U36" s="116"/>
      <c r="V36" s="116"/>
      <c r="W36" s="116"/>
      <c r="X36" s="116"/>
      <c r="Y36" s="118"/>
      <c r="Z36" s="115">
        <v>185361.2</v>
      </c>
    </row>
    <row r="37" spans="4:26" s="17" customFormat="1" ht="18.75">
      <c r="D37" s="19"/>
      <c r="U37" s="116"/>
      <c r="V37" s="116"/>
      <c r="W37" s="116"/>
      <c r="X37" s="116"/>
      <c r="Y37" s="116"/>
      <c r="Z37" s="116"/>
    </row>
    <row r="38" spans="4:26" s="17" customFormat="1" ht="18.75">
      <c r="D38" s="19"/>
      <c r="U38" s="116"/>
      <c r="V38" s="116"/>
      <c r="W38" s="116"/>
      <c r="X38" s="116"/>
      <c r="Y38" s="116"/>
      <c r="Z38" s="116"/>
    </row>
    <row r="39" spans="4:26" s="17" customFormat="1" ht="18.75">
      <c r="D39" s="19"/>
      <c r="U39" s="116"/>
      <c r="V39" s="116"/>
      <c r="W39" s="116"/>
      <c r="X39" s="116"/>
      <c r="Y39" s="116"/>
      <c r="Z39" s="116"/>
    </row>
    <row r="40" spans="4:26" s="17" customFormat="1" ht="18.75">
      <c r="D40" s="19"/>
      <c r="U40" s="116"/>
      <c r="V40" s="116"/>
      <c r="W40" s="116"/>
      <c r="X40" s="116"/>
      <c r="Y40" s="116"/>
      <c r="Z40" s="116"/>
    </row>
    <row r="41" spans="4:26" s="17" customFormat="1" ht="18.75">
      <c r="D41" s="19"/>
      <c r="U41" s="116"/>
      <c r="V41" s="116"/>
      <c r="W41" s="116"/>
      <c r="X41" s="116"/>
      <c r="Y41" s="116"/>
      <c r="Z41" s="116"/>
    </row>
    <row r="42" spans="4:26" s="17" customFormat="1" ht="18.75">
      <c r="D42" s="19"/>
      <c r="U42" s="116"/>
      <c r="V42" s="116"/>
      <c r="W42" s="116"/>
      <c r="X42" s="116"/>
      <c r="Y42" s="116"/>
      <c r="Z42" s="116"/>
    </row>
    <row r="43" spans="4:26" s="17" customFormat="1" ht="18.75">
      <c r="D43" s="19"/>
      <c r="U43" s="116"/>
      <c r="V43" s="116"/>
      <c r="W43" s="116"/>
      <c r="X43" s="116"/>
      <c r="Y43" s="116"/>
      <c r="Z43" s="116"/>
    </row>
    <row r="44" spans="4:26" s="17" customFormat="1" ht="18.75">
      <c r="D44" s="19"/>
      <c r="U44" s="116"/>
      <c r="V44" s="116"/>
      <c r="W44" s="116"/>
      <c r="X44" s="116"/>
      <c r="Y44" s="116"/>
      <c r="Z44" s="116"/>
    </row>
    <row r="45" spans="4:26" s="17" customFormat="1" ht="18.75">
      <c r="D45" s="19"/>
      <c r="U45" s="116"/>
      <c r="V45" s="116"/>
      <c r="W45" s="116"/>
      <c r="X45" s="116"/>
      <c r="Y45" s="116"/>
      <c r="Z45" s="116"/>
    </row>
    <row r="46" spans="4:26" s="17" customFormat="1" ht="18.75">
      <c r="D46" s="19"/>
      <c r="U46" s="116"/>
      <c r="V46" s="116"/>
      <c r="W46" s="116"/>
      <c r="X46" s="116"/>
      <c r="Y46" s="116"/>
      <c r="Z46" s="116"/>
    </row>
    <row r="47" spans="4:26" s="17" customFormat="1" ht="18.75">
      <c r="D47" s="19"/>
      <c r="U47" s="116"/>
      <c r="V47" s="116"/>
      <c r="W47" s="116"/>
      <c r="X47" s="116"/>
      <c r="Y47" s="116"/>
      <c r="Z47" s="116"/>
    </row>
    <row r="48" spans="4:26" s="17" customFormat="1" ht="18.75">
      <c r="D48" s="19"/>
      <c r="U48" s="116"/>
      <c r="V48" s="116"/>
      <c r="W48" s="116"/>
      <c r="X48" s="116"/>
      <c r="Y48" s="116"/>
      <c r="Z48" s="116"/>
    </row>
    <row r="49" spans="4:26" s="17" customFormat="1" ht="18.75">
      <c r="D49" s="19"/>
      <c r="U49" s="116"/>
      <c r="V49" s="116"/>
      <c r="W49" s="116"/>
      <c r="X49" s="116"/>
      <c r="Y49" s="116"/>
      <c r="Z49" s="116"/>
    </row>
    <row r="50" spans="4:26" s="17" customFormat="1" ht="18.75">
      <c r="D50" s="19"/>
      <c r="U50" s="116"/>
      <c r="V50" s="116"/>
      <c r="W50" s="116"/>
      <c r="X50" s="116"/>
      <c r="Y50" s="116"/>
      <c r="Z50" s="116"/>
    </row>
    <row r="51" spans="4:26" s="17" customFormat="1" ht="18.75">
      <c r="D51" s="19"/>
      <c r="U51" s="116"/>
      <c r="V51" s="116"/>
      <c r="W51" s="116"/>
      <c r="X51" s="116"/>
      <c r="Y51" s="116"/>
      <c r="Z51" s="116"/>
    </row>
    <row r="52" spans="4:26" s="17" customFormat="1" ht="18.75">
      <c r="D52" s="19"/>
      <c r="U52" s="116"/>
      <c r="V52" s="116"/>
      <c r="W52" s="116"/>
      <c r="X52" s="116"/>
      <c r="Y52" s="116"/>
      <c r="Z52" s="116"/>
    </row>
    <row r="53" spans="4:26" s="17" customFormat="1" ht="18.75">
      <c r="D53" s="19"/>
      <c r="U53" s="116"/>
      <c r="V53" s="116"/>
      <c r="W53" s="116"/>
      <c r="X53" s="116"/>
      <c r="Y53" s="116"/>
      <c r="Z53" s="116"/>
    </row>
    <row r="54" spans="4:26" s="17" customFormat="1" ht="18.75">
      <c r="D54" s="19"/>
      <c r="U54" s="116"/>
      <c r="V54" s="116"/>
      <c r="W54" s="116"/>
      <c r="X54" s="116"/>
      <c r="Y54" s="116"/>
      <c r="Z54" s="116"/>
    </row>
    <row r="55" spans="4:26" s="17" customFormat="1" ht="18.75">
      <c r="D55" s="19"/>
      <c r="U55" s="116"/>
      <c r="V55" s="116"/>
      <c r="W55" s="116"/>
      <c r="X55" s="116"/>
      <c r="Y55" s="116"/>
      <c r="Z55" s="116"/>
    </row>
    <row r="56" spans="4:26" s="17" customFormat="1" ht="18.75">
      <c r="D56" s="19"/>
      <c r="U56" s="116"/>
      <c r="V56" s="116"/>
      <c r="W56" s="116"/>
      <c r="X56" s="116"/>
      <c r="Y56" s="116"/>
      <c r="Z56" s="116"/>
    </row>
    <row r="57" spans="4:26" s="17" customFormat="1" ht="18.75">
      <c r="D57" s="19"/>
      <c r="U57" s="116"/>
      <c r="V57" s="116"/>
      <c r="W57" s="116"/>
      <c r="X57" s="116"/>
      <c r="Y57" s="116"/>
      <c r="Z57" s="116"/>
    </row>
    <row r="58" spans="4:26" s="17" customFormat="1" ht="18.75">
      <c r="D58" s="19"/>
      <c r="U58" s="116"/>
      <c r="V58" s="116"/>
      <c r="W58" s="116"/>
      <c r="X58" s="116"/>
      <c r="Y58" s="116"/>
      <c r="Z58" s="116"/>
    </row>
    <row r="59" spans="4:26" s="17" customFormat="1" ht="18.75">
      <c r="D59" s="19"/>
      <c r="U59" s="116"/>
      <c r="V59" s="116"/>
      <c r="W59" s="116"/>
      <c r="X59" s="116"/>
      <c r="Y59" s="116"/>
      <c r="Z59" s="116"/>
    </row>
    <row r="60" spans="4:26" s="17" customFormat="1" ht="18.75">
      <c r="D60" s="19"/>
      <c r="U60" s="116"/>
      <c r="V60" s="116"/>
      <c r="W60" s="116"/>
      <c r="X60" s="116"/>
      <c r="Y60" s="116"/>
      <c r="Z60" s="116"/>
    </row>
    <row r="61" spans="4:26" ht="18.75">
      <c r="D61" s="90"/>
      <c r="U61" s="117"/>
      <c r="V61" s="117"/>
      <c r="W61" s="117"/>
      <c r="X61" s="117"/>
      <c r="Y61" s="117"/>
      <c r="Z61" s="117"/>
    </row>
    <row r="62" spans="4:26" ht="18.75">
      <c r="D62" s="90"/>
      <c r="U62" s="117"/>
      <c r="V62" s="117"/>
      <c r="W62" s="117"/>
      <c r="X62" s="117"/>
      <c r="Y62" s="117"/>
      <c r="Z62" s="117"/>
    </row>
    <row r="63" spans="4:26" ht="18.75">
      <c r="D63" s="90"/>
      <c r="U63" s="117"/>
      <c r="V63" s="117"/>
      <c r="W63" s="117"/>
      <c r="X63" s="117"/>
      <c r="Y63" s="117"/>
      <c r="Z63" s="117"/>
    </row>
    <row r="64" spans="4:26" ht="18.75">
      <c r="D64" s="90"/>
      <c r="U64" s="117"/>
      <c r="V64" s="117"/>
      <c r="W64" s="117"/>
      <c r="X64" s="117"/>
      <c r="Y64" s="117"/>
      <c r="Z64" s="117"/>
    </row>
    <row r="65" spans="4:26" ht="18.75">
      <c r="D65" s="90"/>
      <c r="U65" s="117"/>
      <c r="V65" s="117"/>
      <c r="W65" s="117"/>
      <c r="X65" s="117"/>
      <c r="Y65" s="117"/>
      <c r="Z65" s="117"/>
    </row>
    <row r="66" spans="4:26" ht="18.75">
      <c r="D66" s="90"/>
      <c r="U66" s="117"/>
      <c r="V66" s="117"/>
      <c r="W66" s="117"/>
      <c r="X66" s="117"/>
      <c r="Y66" s="117"/>
      <c r="Z66" s="117"/>
    </row>
    <row r="67" spans="4:26" ht="18.75">
      <c r="D67" s="90"/>
      <c r="U67" s="117"/>
      <c r="V67" s="117"/>
      <c r="W67" s="117"/>
      <c r="X67" s="117"/>
      <c r="Y67" s="117"/>
      <c r="Z67" s="117"/>
    </row>
    <row r="68" spans="4:26" ht="18.75">
      <c r="D68" s="90"/>
      <c r="U68" s="117"/>
      <c r="V68" s="117"/>
      <c r="W68" s="117"/>
      <c r="X68" s="117"/>
      <c r="Y68" s="117"/>
      <c r="Z68" s="117"/>
    </row>
    <row r="69" spans="4:26" ht="18.75">
      <c r="D69" s="90"/>
      <c r="U69" s="117"/>
      <c r="V69" s="117"/>
      <c r="W69" s="117"/>
      <c r="X69" s="117"/>
      <c r="Y69" s="117"/>
      <c r="Z69" s="117"/>
    </row>
    <row r="70" spans="4:26" ht="18.75">
      <c r="D70" s="90"/>
      <c r="U70" s="117"/>
      <c r="V70" s="117"/>
      <c r="W70" s="117"/>
      <c r="X70" s="117"/>
      <c r="Y70" s="117"/>
      <c r="Z70" s="117"/>
    </row>
    <row r="71" spans="4:26" ht="18.75">
      <c r="D71" s="90"/>
      <c r="U71" s="117"/>
      <c r="V71" s="117"/>
      <c r="W71" s="117"/>
      <c r="X71" s="117"/>
      <c r="Y71" s="117"/>
      <c r="Z71" s="117"/>
    </row>
    <row r="72" spans="4:26" ht="18.75">
      <c r="D72" s="90"/>
      <c r="U72" s="117"/>
      <c r="V72" s="117"/>
      <c r="W72" s="117"/>
      <c r="X72" s="117"/>
      <c r="Y72" s="117"/>
      <c r="Z72" s="117"/>
    </row>
    <row r="73" spans="4:26" ht="18.75">
      <c r="D73" s="90"/>
      <c r="U73" s="117"/>
      <c r="V73" s="117"/>
      <c r="W73" s="117"/>
      <c r="X73" s="117"/>
      <c r="Y73" s="117"/>
      <c r="Z73" s="117"/>
    </row>
    <row r="74" spans="4:26" ht="18.75">
      <c r="D74" s="90"/>
      <c r="U74" s="117"/>
      <c r="V74" s="117"/>
      <c r="W74" s="117"/>
      <c r="X74" s="117"/>
      <c r="Y74" s="117"/>
      <c r="Z74" s="117"/>
    </row>
    <row r="75" spans="4:26" ht="18.75">
      <c r="D75" s="90"/>
      <c r="U75" s="117"/>
      <c r="V75" s="117"/>
      <c r="W75" s="117"/>
      <c r="X75" s="117"/>
      <c r="Y75" s="117"/>
      <c r="Z75" s="117"/>
    </row>
    <row r="76" spans="4:26" ht="18.75">
      <c r="D76" s="90"/>
      <c r="U76" s="117"/>
      <c r="V76" s="117"/>
      <c r="W76" s="117"/>
      <c r="X76" s="117"/>
      <c r="Y76" s="117"/>
      <c r="Z76" s="117"/>
    </row>
    <row r="77" spans="4:26" ht="18.75">
      <c r="D77" s="90"/>
      <c r="U77" s="117"/>
      <c r="V77" s="117"/>
      <c r="W77" s="117"/>
      <c r="X77" s="117"/>
      <c r="Y77" s="117"/>
      <c r="Z77" s="117"/>
    </row>
    <row r="78" spans="4:26" ht="18.75">
      <c r="D78" s="90"/>
      <c r="U78" s="117"/>
      <c r="V78" s="117"/>
      <c r="W78" s="117"/>
      <c r="X78" s="117"/>
      <c r="Y78" s="117"/>
      <c r="Z78" s="117"/>
    </row>
    <row r="79" spans="4:26" ht="18.75">
      <c r="D79" s="90"/>
      <c r="U79" s="117"/>
      <c r="V79" s="117"/>
      <c r="W79" s="117"/>
      <c r="X79" s="117"/>
      <c r="Y79" s="117"/>
      <c r="Z79" s="117"/>
    </row>
    <row r="80" spans="4:26" ht="18.75">
      <c r="D80" s="90"/>
      <c r="U80" s="117"/>
      <c r="V80" s="117"/>
      <c r="W80" s="117"/>
      <c r="X80" s="117"/>
      <c r="Y80" s="117"/>
      <c r="Z80" s="117"/>
    </row>
    <row r="81" spans="4:26" ht="18.75">
      <c r="D81" s="90"/>
      <c r="U81" s="117"/>
      <c r="V81" s="117"/>
      <c r="W81" s="117"/>
      <c r="X81" s="117"/>
      <c r="Y81" s="117"/>
      <c r="Z81" s="117"/>
    </row>
    <row r="82" spans="4:26" ht="18.75">
      <c r="D82" s="90"/>
      <c r="U82" s="117"/>
      <c r="V82" s="117"/>
      <c r="W82" s="117"/>
      <c r="X82" s="117"/>
      <c r="Y82" s="117"/>
      <c r="Z82" s="117"/>
    </row>
    <row r="83" spans="4:26" ht="18.75">
      <c r="D83" s="90"/>
      <c r="U83" s="117"/>
      <c r="V83" s="117"/>
      <c r="W83" s="117"/>
      <c r="X83" s="117"/>
      <c r="Y83" s="117"/>
      <c r="Z83" s="117"/>
    </row>
    <row r="84" spans="4:26" ht="18.75">
      <c r="D84" s="90"/>
      <c r="U84" s="117"/>
      <c r="V84" s="117"/>
      <c r="W84" s="117"/>
      <c r="X84" s="117"/>
      <c r="Y84" s="117"/>
      <c r="Z84" s="117"/>
    </row>
    <row r="85" spans="4:26" ht="18.75">
      <c r="D85" s="90"/>
      <c r="U85" s="117"/>
      <c r="V85" s="117"/>
      <c r="W85" s="117"/>
      <c r="X85" s="117"/>
      <c r="Y85" s="117"/>
      <c r="Z85" s="117"/>
    </row>
    <row r="86" spans="4:26" ht="18.75">
      <c r="D86" s="90"/>
      <c r="U86" s="117"/>
      <c r="V86" s="117"/>
      <c r="W86" s="117"/>
      <c r="X86" s="117"/>
      <c r="Y86" s="117"/>
      <c r="Z86" s="117"/>
    </row>
    <row r="87" spans="4:26" ht="18.75">
      <c r="D87" s="90"/>
      <c r="U87" s="117"/>
      <c r="V87" s="117"/>
      <c r="W87" s="117"/>
      <c r="X87" s="117"/>
      <c r="Y87" s="117"/>
      <c r="Z87" s="117"/>
    </row>
    <row r="88" spans="4:26" ht="18.75">
      <c r="D88" s="90"/>
      <c r="U88" s="117"/>
      <c r="V88" s="117"/>
      <c r="W88" s="117"/>
      <c r="X88" s="117"/>
      <c r="Y88" s="117"/>
      <c r="Z88" s="117"/>
    </row>
    <row r="89" spans="4:26" ht="18.75">
      <c r="D89" s="90"/>
      <c r="U89" s="117"/>
      <c r="V89" s="117"/>
      <c r="W89" s="117"/>
      <c r="X89" s="117"/>
      <c r="Y89" s="117"/>
      <c r="Z89" s="117"/>
    </row>
    <row r="90" spans="4:26" ht="18.75">
      <c r="D90" s="90"/>
      <c r="U90" s="117"/>
      <c r="V90" s="117"/>
      <c r="W90" s="117"/>
      <c r="X90" s="117"/>
      <c r="Y90" s="117"/>
      <c r="Z90" s="117"/>
    </row>
    <row r="91" spans="4:26" ht="18.75">
      <c r="D91" s="90"/>
      <c r="U91" s="117"/>
      <c r="V91" s="117"/>
      <c r="W91" s="117"/>
      <c r="X91" s="117"/>
      <c r="Y91" s="117"/>
      <c r="Z91" s="117"/>
    </row>
    <row r="92" spans="4:26" ht="18.75">
      <c r="D92" s="90"/>
      <c r="U92" s="117"/>
      <c r="V92" s="117"/>
      <c r="W92" s="117"/>
      <c r="X92" s="117"/>
      <c r="Y92" s="117"/>
      <c r="Z92" s="117"/>
    </row>
    <row r="93" spans="4:26" ht="18.75">
      <c r="D93" s="90"/>
      <c r="U93" s="117"/>
      <c r="V93" s="117"/>
      <c r="W93" s="117"/>
      <c r="X93" s="117"/>
      <c r="Y93" s="117"/>
      <c r="Z93" s="117"/>
    </row>
    <row r="94" spans="4:26" ht="18.75">
      <c r="D94" s="90"/>
      <c r="U94" s="117"/>
      <c r="V94" s="117"/>
      <c r="W94" s="117"/>
      <c r="X94" s="117"/>
      <c r="Y94" s="117"/>
      <c r="Z94" s="117"/>
    </row>
    <row r="95" spans="4:26" ht="18.75">
      <c r="D95" s="90"/>
      <c r="U95" s="117"/>
      <c r="V95" s="117"/>
      <c r="W95" s="117"/>
      <c r="X95" s="117"/>
      <c r="Y95" s="117"/>
      <c r="Z95" s="117"/>
    </row>
    <row r="96" spans="4:26" ht="18.75">
      <c r="D96" s="90"/>
      <c r="U96" s="117"/>
      <c r="V96" s="117"/>
      <c r="W96" s="117"/>
      <c r="X96" s="117"/>
      <c r="Y96" s="117"/>
      <c r="Z96" s="117"/>
    </row>
    <row r="97" spans="4:26" ht="18.75">
      <c r="D97" s="90"/>
      <c r="U97" s="117"/>
      <c r="V97" s="117"/>
      <c r="W97" s="117"/>
      <c r="X97" s="117"/>
      <c r="Y97" s="117"/>
      <c r="Z97" s="117"/>
    </row>
    <row r="98" spans="4:26" ht="18.75">
      <c r="D98" s="90"/>
      <c r="U98" s="117"/>
      <c r="V98" s="117"/>
      <c r="W98" s="117"/>
      <c r="X98" s="117"/>
      <c r="Y98" s="117"/>
      <c r="Z98" s="117"/>
    </row>
    <row r="99" spans="4:26" ht="18.75">
      <c r="D99" s="90"/>
      <c r="U99" s="117"/>
      <c r="V99" s="117"/>
      <c r="W99" s="117"/>
      <c r="X99" s="117"/>
      <c r="Y99" s="117"/>
      <c r="Z99" s="117"/>
    </row>
    <row r="100" spans="4:26" ht="18.75">
      <c r="D100" s="90"/>
      <c r="U100" s="117"/>
      <c r="V100" s="117"/>
      <c r="W100" s="117"/>
      <c r="X100" s="117"/>
      <c r="Y100" s="117"/>
      <c r="Z100" s="117"/>
    </row>
    <row r="101" spans="4:26" ht="18.75">
      <c r="D101" s="90"/>
      <c r="U101" s="117"/>
      <c r="V101" s="117"/>
      <c r="W101" s="117"/>
      <c r="X101" s="117"/>
      <c r="Y101" s="117"/>
      <c r="Z101" s="117"/>
    </row>
    <row r="102" spans="4:26" ht="18.75">
      <c r="D102" s="90"/>
      <c r="U102" s="117"/>
      <c r="V102" s="117"/>
      <c r="W102" s="117"/>
      <c r="X102" s="117"/>
      <c r="Y102" s="117"/>
      <c r="Z102" s="117"/>
    </row>
    <row r="103" spans="4:26" ht="18.75">
      <c r="D103" s="90"/>
      <c r="U103" s="117"/>
      <c r="V103" s="117"/>
      <c r="W103" s="117"/>
      <c r="X103" s="117"/>
      <c r="Y103" s="117"/>
      <c r="Z103" s="117"/>
    </row>
    <row r="104" spans="4:26" ht="18.75">
      <c r="D104" s="90"/>
      <c r="U104" s="117"/>
      <c r="V104" s="117"/>
      <c r="W104" s="117"/>
      <c r="X104" s="117"/>
      <c r="Y104" s="117"/>
      <c r="Z104" s="117"/>
    </row>
    <row r="105" spans="4:26" ht="18.75">
      <c r="D105" s="90"/>
      <c r="U105" s="117"/>
      <c r="V105" s="117"/>
      <c r="W105" s="117"/>
      <c r="X105" s="117"/>
      <c r="Y105" s="117"/>
      <c r="Z105" s="117"/>
    </row>
    <row r="106" spans="4:26" ht="18.75">
      <c r="D106" s="90"/>
      <c r="U106" s="117"/>
      <c r="V106" s="117"/>
      <c r="W106" s="117"/>
      <c r="X106" s="117"/>
      <c r="Y106" s="117"/>
      <c r="Z106" s="117"/>
    </row>
    <row r="107" spans="4:26" ht="18.75">
      <c r="D107" s="90"/>
      <c r="U107" s="117"/>
      <c r="V107" s="117"/>
      <c r="W107" s="117"/>
      <c r="X107" s="117"/>
      <c r="Y107" s="117"/>
      <c r="Z107" s="117"/>
    </row>
    <row r="108" spans="4:26" ht="18.75">
      <c r="D108" s="90"/>
      <c r="U108" s="117"/>
      <c r="V108" s="117"/>
      <c r="W108" s="117"/>
      <c r="X108" s="117"/>
      <c r="Y108" s="117"/>
      <c r="Z108" s="117"/>
    </row>
    <row r="109" spans="4:26" ht="18.75">
      <c r="D109" s="90"/>
      <c r="U109" s="117"/>
      <c r="V109" s="117"/>
      <c r="W109" s="117"/>
      <c r="X109" s="117"/>
      <c r="Y109" s="117"/>
      <c r="Z109" s="117"/>
    </row>
    <row r="110" spans="4:26" ht="18.75">
      <c r="D110" s="90"/>
      <c r="U110" s="117"/>
      <c r="V110" s="117"/>
      <c r="W110" s="117"/>
      <c r="X110" s="117"/>
      <c r="Y110" s="117"/>
      <c r="Z110" s="117"/>
    </row>
    <row r="111" spans="4:26" ht="18.75">
      <c r="D111" s="90"/>
      <c r="U111" s="117"/>
      <c r="V111" s="117"/>
      <c r="W111" s="117"/>
      <c r="X111" s="117"/>
      <c r="Y111" s="117"/>
      <c r="Z111" s="117"/>
    </row>
    <row r="112" spans="4:26" ht="18.75">
      <c r="D112" s="90"/>
      <c r="U112" s="117"/>
      <c r="V112" s="117"/>
      <c r="W112" s="117"/>
      <c r="X112" s="117"/>
      <c r="Y112" s="117"/>
      <c r="Z112" s="117"/>
    </row>
    <row r="113" spans="4:26" ht="18.75">
      <c r="D113" s="90"/>
      <c r="U113" s="117"/>
      <c r="V113" s="117"/>
      <c r="W113" s="117"/>
      <c r="X113" s="117"/>
      <c r="Y113" s="117"/>
      <c r="Z113" s="117"/>
    </row>
    <row r="114" spans="4:26" ht="18.75">
      <c r="D114" s="90"/>
      <c r="U114" s="117"/>
      <c r="V114" s="117"/>
      <c r="W114" s="117"/>
      <c r="X114" s="117"/>
      <c r="Y114" s="117"/>
      <c r="Z114" s="117"/>
    </row>
    <row r="115" spans="4:26" ht="18.75">
      <c r="D115" s="90"/>
      <c r="U115" s="117"/>
      <c r="V115" s="117"/>
      <c r="W115" s="117"/>
      <c r="X115" s="117"/>
      <c r="Y115" s="117"/>
      <c r="Z115" s="117"/>
    </row>
    <row r="116" spans="4:26" ht="18.75">
      <c r="D116" s="90"/>
      <c r="U116" s="117"/>
      <c r="V116" s="117"/>
      <c r="W116" s="117"/>
      <c r="X116" s="117"/>
      <c r="Y116" s="117"/>
      <c r="Z116" s="117"/>
    </row>
    <row r="117" spans="4:26" ht="18.75">
      <c r="D117" s="90"/>
      <c r="U117" s="117"/>
      <c r="V117" s="117"/>
      <c r="W117" s="117"/>
      <c r="X117" s="117"/>
      <c r="Y117" s="117"/>
      <c r="Z117" s="117"/>
    </row>
    <row r="118" spans="4:26" ht="18.75">
      <c r="D118" s="90"/>
      <c r="U118" s="117"/>
      <c r="V118" s="117"/>
      <c r="W118" s="117"/>
      <c r="X118" s="117"/>
      <c r="Y118" s="117"/>
      <c r="Z118" s="117"/>
    </row>
    <row r="119" spans="4:26" ht="18.75">
      <c r="D119" s="90"/>
      <c r="U119" s="117"/>
      <c r="V119" s="117"/>
      <c r="W119" s="117"/>
      <c r="X119" s="117"/>
      <c r="Y119" s="117"/>
      <c r="Z119" s="117"/>
    </row>
    <row r="120" spans="4:26" ht="18.75">
      <c r="D120" s="90"/>
      <c r="U120" s="117"/>
      <c r="V120" s="117"/>
      <c r="W120" s="117"/>
      <c r="X120" s="117"/>
      <c r="Y120" s="117"/>
      <c r="Z120" s="117"/>
    </row>
    <row r="121" spans="4:26" ht="18.75">
      <c r="D121" s="90"/>
      <c r="U121" s="117"/>
      <c r="V121" s="117"/>
      <c r="W121" s="117"/>
      <c r="X121" s="117"/>
      <c r="Y121" s="117"/>
      <c r="Z121" s="117"/>
    </row>
    <row r="122" spans="4:26" ht="18.75">
      <c r="D122" s="90"/>
      <c r="U122" s="117"/>
      <c r="V122" s="117"/>
      <c r="W122" s="117"/>
      <c r="X122" s="117"/>
      <c r="Y122" s="117"/>
      <c r="Z122" s="117"/>
    </row>
    <row r="123" spans="4:26" ht="18.75">
      <c r="D123" s="90"/>
      <c r="U123" s="117"/>
      <c r="V123" s="117"/>
      <c r="W123" s="117"/>
      <c r="X123" s="117"/>
      <c r="Y123" s="117"/>
      <c r="Z123" s="117"/>
    </row>
    <row r="124" spans="4:26" ht="18.75">
      <c r="D124" s="90"/>
      <c r="Y124" s="117"/>
      <c r="Z124" s="117"/>
    </row>
    <row r="125" spans="4:26" ht="18.75">
      <c r="D125" s="90"/>
      <c r="Y125" s="117"/>
      <c r="Z125" s="117"/>
    </row>
    <row r="126" spans="4:26" ht="18.75">
      <c r="D126" s="90"/>
      <c r="Y126" s="117"/>
      <c r="Z126" s="117"/>
    </row>
    <row r="127" spans="4:26" ht="18.75">
      <c r="D127" s="90"/>
      <c r="Y127" s="117"/>
      <c r="Z127" s="117"/>
    </row>
    <row r="128" spans="4:26" ht="18.75">
      <c r="D128" s="90"/>
      <c r="Y128" s="117"/>
      <c r="Z128" s="117"/>
    </row>
    <row r="129" spans="4:26" ht="18.75">
      <c r="D129" s="90"/>
      <c r="Y129" s="117"/>
      <c r="Z129" s="117"/>
    </row>
    <row r="130" spans="4:26" ht="18.75">
      <c r="D130" s="90"/>
      <c r="Y130" s="117"/>
      <c r="Z130" s="117"/>
    </row>
    <row r="131" spans="4:26" ht="18.75">
      <c r="D131" s="90"/>
      <c r="Y131" s="117"/>
      <c r="Z131" s="117"/>
    </row>
    <row r="132" spans="4:26" ht="18.75">
      <c r="D132" s="90"/>
      <c r="Y132" s="117"/>
      <c r="Z132" s="117"/>
    </row>
    <row r="133" spans="4:26" ht="18.75">
      <c r="D133" s="90"/>
      <c r="Y133" s="117"/>
      <c r="Z133" s="117"/>
    </row>
    <row r="134" spans="4:26" ht="18.75">
      <c r="D134" s="90"/>
      <c r="Y134" s="117"/>
      <c r="Z134" s="117"/>
    </row>
    <row r="135" spans="4:26" ht="18.75">
      <c r="D135" s="90"/>
      <c r="Y135" s="117"/>
      <c r="Z135" s="117"/>
    </row>
    <row r="136" spans="4:26" ht="18.75">
      <c r="D136" s="90"/>
      <c r="Y136" s="117"/>
      <c r="Z136" s="117"/>
    </row>
    <row r="137" spans="4:26" ht="18.75">
      <c r="D137" s="90"/>
      <c r="Y137" s="117"/>
      <c r="Z137" s="117"/>
    </row>
    <row r="138" spans="4:26" ht="18.75">
      <c r="D138" s="90"/>
      <c r="Y138" s="117"/>
      <c r="Z138" s="117"/>
    </row>
    <row r="139" spans="4:26" ht="18.75">
      <c r="D139" s="90"/>
      <c r="Y139" s="117"/>
      <c r="Z139" s="117"/>
    </row>
    <row r="140" spans="4:26" ht="18.75">
      <c r="D140" s="90"/>
      <c r="Y140" s="117"/>
      <c r="Z140" s="117"/>
    </row>
    <row r="141" spans="4:26" ht="18.75">
      <c r="D141" s="90"/>
      <c r="Y141" s="117"/>
      <c r="Z141" s="117"/>
    </row>
    <row r="142" spans="4:26" ht="18.75">
      <c r="D142" s="90"/>
      <c r="Y142" s="117"/>
      <c r="Z142" s="117"/>
    </row>
    <row r="143" spans="4:26" ht="18.75">
      <c r="D143" s="90"/>
      <c r="Y143" s="117"/>
      <c r="Z143" s="117"/>
    </row>
    <row r="144" spans="4:26" ht="18.75">
      <c r="D144" s="90"/>
      <c r="Y144" s="117"/>
      <c r="Z144" s="117"/>
    </row>
    <row r="145" spans="4:26" ht="18.75">
      <c r="D145" s="90"/>
      <c r="Y145" s="117"/>
      <c r="Z145" s="117"/>
    </row>
    <row r="146" spans="4:26" ht="18.75">
      <c r="D146" s="90"/>
      <c r="Y146" s="117"/>
      <c r="Z146" s="117"/>
    </row>
    <row r="147" spans="4:26" ht="18.75">
      <c r="D147" s="90"/>
      <c r="Y147" s="117"/>
      <c r="Z147" s="117"/>
    </row>
    <row r="148" spans="4:26" ht="18.75">
      <c r="D148" s="90"/>
      <c r="Y148" s="117"/>
      <c r="Z148" s="117"/>
    </row>
    <row r="149" spans="4:26" ht="18.75">
      <c r="D149" s="90"/>
      <c r="Y149" s="117"/>
      <c r="Z149" s="117"/>
    </row>
    <row r="150" spans="4:26" ht="18.75">
      <c r="D150" s="90"/>
      <c r="Y150" s="117"/>
      <c r="Z150" s="117"/>
    </row>
    <row r="151" spans="4:26" ht="18.75">
      <c r="D151" s="90"/>
      <c r="Y151" s="117"/>
      <c r="Z151" s="117"/>
    </row>
    <row r="152" spans="4:26" ht="18.75">
      <c r="D152" s="90"/>
      <c r="Y152" s="117"/>
      <c r="Z152" s="117"/>
    </row>
    <row r="153" spans="4:26" ht="18.75">
      <c r="D153" s="90"/>
      <c r="Y153" s="117"/>
      <c r="Z153" s="117"/>
    </row>
    <row r="154" spans="4:26" ht="18.75">
      <c r="D154" s="90"/>
      <c r="Y154" s="117"/>
      <c r="Z154" s="117"/>
    </row>
    <row r="155" spans="4:26" ht="18.75">
      <c r="D155" s="90"/>
      <c r="Y155" s="117"/>
      <c r="Z155" s="117"/>
    </row>
    <row r="156" spans="4:26" ht="18.75">
      <c r="D156" s="90"/>
      <c r="Y156" s="117"/>
      <c r="Z156" s="117"/>
    </row>
    <row r="157" spans="4:26" ht="18.75">
      <c r="D157" s="90"/>
      <c r="Y157" s="117"/>
      <c r="Z157" s="117"/>
    </row>
    <row r="158" spans="4:26" ht="18.75">
      <c r="D158" s="90"/>
      <c r="Y158" s="117"/>
      <c r="Z158" s="117"/>
    </row>
    <row r="159" spans="4:26" ht="18.75">
      <c r="D159" s="90"/>
      <c r="Y159" s="117"/>
      <c r="Z159" s="117"/>
    </row>
    <row r="160" spans="4:26" ht="18.75">
      <c r="D160" s="90"/>
      <c r="Y160" s="117"/>
      <c r="Z160" s="117"/>
    </row>
    <row r="161" spans="4:26" ht="18.75">
      <c r="D161" s="90"/>
      <c r="Y161" s="117"/>
      <c r="Z161" s="117"/>
    </row>
    <row r="162" spans="4:26" ht="18.75">
      <c r="D162" s="90"/>
      <c r="Y162" s="117"/>
      <c r="Z162" s="117"/>
    </row>
    <row r="163" spans="4:26" ht="18.75">
      <c r="D163" s="90"/>
      <c r="Y163" s="117"/>
      <c r="Z163" s="117"/>
    </row>
    <row r="164" spans="4:26" ht="18.75">
      <c r="D164" s="90"/>
      <c r="Y164" s="117"/>
      <c r="Z164" s="117"/>
    </row>
    <row r="165" spans="4:26" ht="18.75">
      <c r="D165" s="90"/>
      <c r="Y165" s="117"/>
      <c r="Z165" s="117"/>
    </row>
    <row r="166" spans="4:26" ht="18.75">
      <c r="D166" s="90"/>
      <c r="Y166" s="117"/>
      <c r="Z166" s="117"/>
    </row>
    <row r="167" spans="4:26" ht="18.75">
      <c r="D167" s="90"/>
      <c r="Y167" s="117"/>
      <c r="Z167" s="117"/>
    </row>
    <row r="168" spans="4:26" ht="18.75">
      <c r="D168" s="90"/>
      <c r="Y168" s="117"/>
      <c r="Z168" s="117"/>
    </row>
    <row r="169" spans="4:26" ht="18.75">
      <c r="D169" s="90"/>
      <c r="Y169" s="117"/>
      <c r="Z169" s="117"/>
    </row>
    <row r="170" spans="4:26" ht="18.75">
      <c r="D170" s="90"/>
      <c r="Y170" s="117"/>
      <c r="Z170" s="117"/>
    </row>
    <row r="171" spans="4:26" ht="18.75">
      <c r="D171" s="90"/>
      <c r="Y171" s="117"/>
      <c r="Z171" s="117"/>
    </row>
    <row r="172" spans="4:26" ht="18.75">
      <c r="D172" s="90"/>
      <c r="Y172" s="117"/>
      <c r="Z172" s="117"/>
    </row>
    <row r="173" spans="4:26" ht="18.75">
      <c r="D173" s="90"/>
      <c r="Y173" s="117"/>
      <c r="Z173" s="117"/>
    </row>
    <row r="174" spans="4:26" ht="18.75">
      <c r="D174" s="90"/>
      <c r="Y174" s="117"/>
      <c r="Z174" s="117"/>
    </row>
    <row r="175" spans="4:26" ht="18.75">
      <c r="D175" s="90"/>
      <c r="Y175" s="117"/>
      <c r="Z175" s="117"/>
    </row>
    <row r="176" ht="18.75">
      <c r="D176" s="90"/>
    </row>
    <row r="177" ht="18.75">
      <c r="D177" s="90"/>
    </row>
    <row r="178" ht="18.75">
      <c r="D178" s="90"/>
    </row>
    <row r="179" ht="18.75">
      <c r="D179" s="90"/>
    </row>
    <row r="180" ht="18.75">
      <c r="D180" s="90"/>
    </row>
    <row r="181" ht="18.75">
      <c r="D181" s="90"/>
    </row>
    <row r="182" ht="18.75">
      <c r="D182" s="90"/>
    </row>
    <row r="183" ht="18.75">
      <c r="D183" s="90"/>
    </row>
    <row r="184" ht="18.75">
      <c r="D184" s="90"/>
    </row>
    <row r="185" ht="18.75">
      <c r="D185" s="90"/>
    </row>
    <row r="186" ht="18.75">
      <c r="D186" s="90"/>
    </row>
    <row r="187" ht="18.75">
      <c r="D187" s="90"/>
    </row>
    <row r="188" ht="18.75">
      <c r="D188" s="90"/>
    </row>
    <row r="189" ht="18.75">
      <c r="D189" s="90"/>
    </row>
    <row r="190" ht="18.75">
      <c r="D190" s="90"/>
    </row>
    <row r="191" ht="18.75">
      <c r="D191" s="90"/>
    </row>
    <row r="192" ht="18.75">
      <c r="D192" s="90"/>
    </row>
    <row r="193" ht="18.75">
      <c r="D193" s="90"/>
    </row>
    <row r="194" ht="18.75">
      <c r="D194" s="90"/>
    </row>
    <row r="195" ht="18.75">
      <c r="D195" s="90"/>
    </row>
    <row r="196" ht="18.75">
      <c r="D196" s="90"/>
    </row>
    <row r="197" ht="18.75">
      <c r="D197" s="90"/>
    </row>
    <row r="198" ht="18.75">
      <c r="D198" s="90"/>
    </row>
    <row r="199" ht="18.75">
      <c r="D199" s="90"/>
    </row>
    <row r="200" ht="18.75">
      <c r="D200" s="90"/>
    </row>
    <row r="201" ht="18.75">
      <c r="D201" s="90"/>
    </row>
    <row r="202" ht="18.75">
      <c r="D202" s="90"/>
    </row>
    <row r="203" ht="18.75">
      <c r="D203" s="90"/>
    </row>
    <row r="204" ht="18.75">
      <c r="D204" s="90"/>
    </row>
    <row r="205" ht="18.75">
      <c r="D205" s="90"/>
    </row>
    <row r="206" ht="18.75">
      <c r="D206" s="90"/>
    </row>
    <row r="207" ht="18.75">
      <c r="D207" s="90"/>
    </row>
    <row r="208" ht="18.75">
      <c r="D208" s="90"/>
    </row>
    <row r="209" ht="18.75">
      <c r="D209" s="90"/>
    </row>
    <row r="210" ht="18.75">
      <c r="D210" s="90"/>
    </row>
    <row r="211" ht="18.75">
      <c r="D211" s="90"/>
    </row>
    <row r="212" ht="18.75">
      <c r="D212" s="90"/>
    </row>
    <row r="213" ht="18.75">
      <c r="D213" s="90"/>
    </row>
    <row r="214" ht="18.75">
      <c r="D214" s="90"/>
    </row>
    <row r="215" ht="18.75">
      <c r="D215" s="90"/>
    </row>
    <row r="216" ht="18.75">
      <c r="D216" s="90"/>
    </row>
    <row r="217" ht="18.75">
      <c r="D217" s="90"/>
    </row>
    <row r="218" ht="18.75">
      <c r="D218" s="90"/>
    </row>
    <row r="219" ht="18.75">
      <c r="D219" s="90"/>
    </row>
    <row r="220" ht="18.75">
      <c r="D220" s="90"/>
    </row>
    <row r="221" ht="18.75">
      <c r="D221" s="90"/>
    </row>
    <row r="222" ht="18.75">
      <c r="D222" s="90"/>
    </row>
    <row r="223" ht="18.75">
      <c r="D223" s="90"/>
    </row>
    <row r="224" ht="18.75">
      <c r="D224" s="90"/>
    </row>
    <row r="225" ht="18.75">
      <c r="D225" s="90"/>
    </row>
    <row r="226" ht="18.75">
      <c r="D226" s="90"/>
    </row>
    <row r="227" ht="18.75">
      <c r="D227" s="90"/>
    </row>
    <row r="228" ht="18.75">
      <c r="D228" s="90"/>
    </row>
    <row r="229" ht="18.75">
      <c r="D229" s="90"/>
    </row>
    <row r="230" ht="18.75">
      <c r="D230" s="90"/>
    </row>
    <row r="231" ht="18.75">
      <c r="D231" s="90"/>
    </row>
    <row r="232" ht="18.75">
      <c r="D232" s="90"/>
    </row>
    <row r="233" ht="18.75">
      <c r="D233" s="90"/>
    </row>
    <row r="234" ht="18.75">
      <c r="D234" s="90"/>
    </row>
    <row r="235" ht="18.75">
      <c r="D235" s="90"/>
    </row>
    <row r="236" ht="18.75">
      <c r="D236" s="90"/>
    </row>
    <row r="237" ht="18.75">
      <c r="D237" s="90"/>
    </row>
    <row r="238" ht="18.75">
      <c r="D238" s="90"/>
    </row>
    <row r="239" ht="18.75">
      <c r="D239" s="90"/>
    </row>
    <row r="240" ht="18.75">
      <c r="D240" s="90"/>
    </row>
    <row r="241" ht="18.75">
      <c r="D241" s="90"/>
    </row>
    <row r="242" ht="18.75">
      <c r="D242" s="90"/>
    </row>
    <row r="243" ht="18.75">
      <c r="D243" s="90"/>
    </row>
    <row r="244" ht="18.75">
      <c r="D244" s="90"/>
    </row>
    <row r="245" ht="18.75">
      <c r="D245" s="90"/>
    </row>
    <row r="246" ht="18.75">
      <c r="D246" s="90"/>
    </row>
    <row r="247" ht="18.75">
      <c r="D247" s="90"/>
    </row>
    <row r="248" ht="18.75">
      <c r="D248" s="90"/>
    </row>
    <row r="249" ht="18.75">
      <c r="D249" s="90"/>
    </row>
    <row r="250" ht="18.75">
      <c r="D250" s="90"/>
    </row>
    <row r="251" ht="18.75">
      <c r="D251" s="90"/>
    </row>
    <row r="252" ht="18.75">
      <c r="D252" s="90"/>
    </row>
    <row r="253" ht="18.75">
      <c r="D253" s="90"/>
    </row>
    <row r="254" ht="18.75">
      <c r="D254" s="90"/>
    </row>
    <row r="255" ht="18.75">
      <c r="D255" s="90"/>
    </row>
    <row r="256" ht="18.75">
      <c r="D256" s="90"/>
    </row>
    <row r="257" ht="18.75">
      <c r="D257" s="90"/>
    </row>
    <row r="258" ht="18.75">
      <c r="D258" s="90"/>
    </row>
    <row r="259" ht="18.75">
      <c r="D259" s="90"/>
    </row>
    <row r="260" ht="18.75">
      <c r="D260" s="90"/>
    </row>
    <row r="261" ht="18.75">
      <c r="D261" s="90"/>
    </row>
    <row r="262" ht="18.75">
      <c r="D262" s="90"/>
    </row>
    <row r="263" ht="18.75">
      <c r="D263" s="90"/>
    </row>
    <row r="264" ht="18.75">
      <c r="D264" s="90"/>
    </row>
    <row r="265" ht="18.75">
      <c r="D265" s="90"/>
    </row>
    <row r="266" ht="18.75">
      <c r="D266" s="90"/>
    </row>
    <row r="267" ht="18.75">
      <c r="D267" s="90"/>
    </row>
    <row r="268" ht="18.75">
      <c r="D268" s="90"/>
    </row>
    <row r="269" ht="18.75">
      <c r="D269" s="90"/>
    </row>
    <row r="270" ht="18.75">
      <c r="D270" s="90"/>
    </row>
    <row r="271" ht="18.75">
      <c r="D271" s="90"/>
    </row>
    <row r="272" ht="18.75">
      <c r="D272" s="90"/>
    </row>
    <row r="273" ht="18.75">
      <c r="D273" s="90"/>
    </row>
    <row r="274" ht="18.75">
      <c r="D274" s="90"/>
    </row>
    <row r="275" ht="18.75">
      <c r="D275" s="90"/>
    </row>
    <row r="276" ht="18.75">
      <c r="D276" s="90"/>
    </row>
    <row r="277" ht="18.75">
      <c r="D277" s="90"/>
    </row>
    <row r="278" ht="18.75">
      <c r="D278" s="90"/>
    </row>
    <row r="279" ht="18.75">
      <c r="D279" s="90"/>
    </row>
    <row r="280" ht="18.75">
      <c r="D280" s="90"/>
    </row>
    <row r="281" ht="18.75">
      <c r="D281" s="90"/>
    </row>
    <row r="282" ht="18.75">
      <c r="D282" s="90"/>
    </row>
    <row r="283" ht="18.75">
      <c r="D283" s="90"/>
    </row>
    <row r="284" ht="18.75">
      <c r="D284" s="90"/>
    </row>
    <row r="285" ht="18.75">
      <c r="D285" s="90"/>
    </row>
    <row r="286" ht="18.75">
      <c r="D286" s="90"/>
    </row>
    <row r="287" ht="18.75">
      <c r="D287" s="90"/>
    </row>
    <row r="288" ht="18.75">
      <c r="D288" s="90"/>
    </row>
    <row r="289" ht="18.75">
      <c r="D289" s="90"/>
    </row>
    <row r="290" ht="18.75">
      <c r="D290" s="90"/>
    </row>
    <row r="291" ht="18.75">
      <c r="D291" s="90"/>
    </row>
    <row r="292" ht="18.75">
      <c r="D292" s="90"/>
    </row>
    <row r="293" ht="18.75">
      <c r="D293" s="90"/>
    </row>
    <row r="294" ht="18.75">
      <c r="D294" s="90"/>
    </row>
    <row r="295" ht="18.75">
      <c r="D295" s="90"/>
    </row>
    <row r="296" ht="18.75">
      <c r="D296" s="90"/>
    </row>
    <row r="297" ht="18.75">
      <c r="D297" s="90"/>
    </row>
    <row r="298" ht="18.75">
      <c r="D298" s="90"/>
    </row>
    <row r="299" ht="18.75">
      <c r="D299" s="90"/>
    </row>
    <row r="300" ht="18.75">
      <c r="D300" s="90"/>
    </row>
    <row r="301" ht="18.75">
      <c r="D301" s="90"/>
    </row>
    <row r="302" ht="18.75">
      <c r="D302" s="90"/>
    </row>
    <row r="303" ht="18.75">
      <c r="D303" s="90"/>
    </row>
    <row r="304" ht="18.75">
      <c r="D304" s="90"/>
    </row>
    <row r="305" ht="18.75">
      <c r="D305" s="90"/>
    </row>
    <row r="306" ht="18.75">
      <c r="D306" s="90"/>
    </row>
    <row r="307" ht="18.75">
      <c r="D307" s="90"/>
    </row>
    <row r="308" ht="18.75">
      <c r="D308" s="90"/>
    </row>
    <row r="309" ht="18.75">
      <c r="D309" s="90"/>
    </row>
    <row r="310" ht="18.75">
      <c r="D310" s="90"/>
    </row>
    <row r="311" ht="18.75">
      <c r="D311" s="90"/>
    </row>
    <row r="312" ht="18.75">
      <c r="D312" s="90"/>
    </row>
    <row r="313" ht="18.75">
      <c r="D313" s="90"/>
    </row>
    <row r="314" ht="18.75">
      <c r="D314" s="90"/>
    </row>
    <row r="315" ht="18.75">
      <c r="D315" s="90"/>
    </row>
    <row r="316" ht="18.75">
      <c r="D316" s="90"/>
    </row>
    <row r="317" ht="18.75">
      <c r="D317" s="90"/>
    </row>
    <row r="318" ht="18.75">
      <c r="D318" s="90"/>
    </row>
    <row r="319" ht="18.75">
      <c r="D319" s="90"/>
    </row>
    <row r="320" ht="18.75">
      <c r="D320" s="90"/>
    </row>
    <row r="321" ht="18.75">
      <c r="D321" s="90"/>
    </row>
    <row r="322" ht="18.75">
      <c r="D322" s="90"/>
    </row>
    <row r="323" ht="18.75">
      <c r="D323" s="90"/>
    </row>
    <row r="324" ht="18.75">
      <c r="D324" s="90"/>
    </row>
    <row r="325" ht="18.75">
      <c r="D325" s="90"/>
    </row>
    <row r="326" ht="18.75">
      <c r="D326" s="90"/>
    </row>
    <row r="327" ht="18.75">
      <c r="D327" s="90"/>
    </row>
    <row r="328" ht="18.75">
      <c r="D328" s="90"/>
    </row>
    <row r="329" ht="18.75">
      <c r="D329" s="90"/>
    </row>
    <row r="330" ht="18.75">
      <c r="D330" s="90"/>
    </row>
    <row r="331" ht="18.75">
      <c r="D331" s="90"/>
    </row>
    <row r="332" ht="18.75">
      <c r="D332" s="90"/>
    </row>
    <row r="333" ht="18.75">
      <c r="D333" s="90"/>
    </row>
    <row r="334" ht="18.75">
      <c r="D334" s="90"/>
    </row>
    <row r="335" ht="18.75">
      <c r="D335" s="90"/>
    </row>
    <row r="336" ht="18.75">
      <c r="D336" s="90"/>
    </row>
    <row r="337" ht="18.75">
      <c r="D337" s="90"/>
    </row>
    <row r="338" ht="18.75">
      <c r="D338" s="90"/>
    </row>
    <row r="339" ht="18.75">
      <c r="D339" s="90"/>
    </row>
    <row r="340" ht="18.75">
      <c r="D340" s="90"/>
    </row>
    <row r="341" ht="18.75">
      <c r="D341" s="90"/>
    </row>
    <row r="342" ht="18.75">
      <c r="D342" s="90"/>
    </row>
    <row r="343" ht="18.75">
      <c r="D343" s="90"/>
    </row>
    <row r="344" ht="18.75">
      <c r="D344" s="90"/>
    </row>
    <row r="345" ht="18.75">
      <c r="D345" s="90"/>
    </row>
    <row r="346" ht="18.75">
      <c r="D346" s="90"/>
    </row>
    <row r="347" ht="18.75">
      <c r="D347" s="90"/>
    </row>
    <row r="348" ht="18.75">
      <c r="D348" s="90"/>
    </row>
    <row r="349" ht="18.75">
      <c r="D349" s="90"/>
    </row>
    <row r="350" ht="18.75">
      <c r="D350" s="90"/>
    </row>
    <row r="351" ht="18.75">
      <c r="D351" s="90"/>
    </row>
    <row r="352" ht="18.75">
      <c r="D352" s="90"/>
    </row>
    <row r="353" ht="18.75">
      <c r="D353" s="90"/>
    </row>
    <row r="354" ht="18.75">
      <c r="D354" s="90"/>
    </row>
    <row r="355" ht="18.75">
      <c r="D355" s="90"/>
    </row>
    <row r="356" ht="18.75">
      <c r="D356" s="90"/>
    </row>
    <row r="357" ht="18.75">
      <c r="D357" s="90"/>
    </row>
    <row r="358" ht="18.75">
      <c r="D358" s="90"/>
    </row>
    <row r="359" ht="18.75">
      <c r="D359" s="90"/>
    </row>
    <row r="360" ht="18.75">
      <c r="D360" s="90"/>
    </row>
    <row r="361" ht="18.75">
      <c r="D361" s="90"/>
    </row>
    <row r="362" ht="18.75">
      <c r="D362" s="90"/>
    </row>
    <row r="363" ht="18.75">
      <c r="D363" s="90"/>
    </row>
    <row r="364" ht="18.75">
      <c r="D364" s="90"/>
    </row>
    <row r="365" ht="18.75">
      <c r="D365" s="90"/>
    </row>
    <row r="366" ht="18.75">
      <c r="D366" s="90"/>
    </row>
    <row r="367" ht="18.75">
      <c r="D367" s="90"/>
    </row>
    <row r="368" ht="18.75">
      <c r="D368" s="90"/>
    </row>
    <row r="369" ht="18.75">
      <c r="D369" s="90"/>
    </row>
    <row r="370" ht="18.75">
      <c r="D370" s="90"/>
    </row>
    <row r="371" ht="18.75">
      <c r="D371" s="90"/>
    </row>
    <row r="372" ht="18.75">
      <c r="D372" s="90"/>
    </row>
    <row r="373" ht="18.75">
      <c r="D373" s="90"/>
    </row>
    <row r="374" ht="18.75">
      <c r="D374" s="90"/>
    </row>
    <row r="375" ht="18.75">
      <c r="D375" s="90"/>
    </row>
    <row r="376" ht="18.75">
      <c r="D376" s="90"/>
    </row>
    <row r="377" ht="18.75">
      <c r="D377" s="90"/>
    </row>
    <row r="378" ht="18.75">
      <c r="D378" s="90"/>
    </row>
    <row r="379" ht="18.75">
      <c r="D379" s="90"/>
    </row>
    <row r="380" ht="18.75">
      <c r="D380" s="90"/>
    </row>
    <row r="381" ht="18.75">
      <c r="D381" s="90"/>
    </row>
    <row r="382" ht="18.75">
      <c r="D382" s="90"/>
    </row>
    <row r="383" ht="18.75">
      <c r="D383" s="90"/>
    </row>
    <row r="384" ht="18.75">
      <c r="D384" s="90"/>
    </row>
    <row r="385" ht="18.75">
      <c r="D385" s="90"/>
    </row>
    <row r="386" ht="18.75">
      <c r="D386" s="90"/>
    </row>
    <row r="387" ht="18.75">
      <c r="D387" s="90"/>
    </row>
    <row r="388" ht="18.75">
      <c r="D388" s="90"/>
    </row>
    <row r="389" ht="18.75">
      <c r="D389" s="90"/>
    </row>
    <row r="390" ht="18.75">
      <c r="D390" s="90"/>
    </row>
    <row r="391" ht="18.75">
      <c r="D391" s="90"/>
    </row>
    <row r="392" ht="18.75">
      <c r="D392" s="90"/>
    </row>
    <row r="393" ht="18.75">
      <c r="D393" s="90"/>
    </row>
    <row r="394" ht="18.75">
      <c r="D394" s="90"/>
    </row>
    <row r="395" ht="18.75">
      <c r="D395" s="90"/>
    </row>
    <row r="396" ht="18.75">
      <c r="D396" s="90"/>
    </row>
    <row r="397" ht="18.75">
      <c r="D397" s="90"/>
    </row>
    <row r="398" ht="18.75">
      <c r="D398" s="90"/>
    </row>
    <row r="399" ht="18.75">
      <c r="D399" s="90"/>
    </row>
    <row r="400" ht="18.75">
      <c r="D400" s="90"/>
    </row>
    <row r="401" ht="18.75">
      <c r="D401" s="90"/>
    </row>
    <row r="402" ht="18.75">
      <c r="D402" s="90"/>
    </row>
    <row r="403" ht="18.75">
      <c r="D403" s="90"/>
    </row>
    <row r="404" ht="18.75">
      <c r="D404" s="90"/>
    </row>
    <row r="405" ht="18.75">
      <c r="D405" s="90"/>
    </row>
    <row r="406" ht="18.75">
      <c r="D406" s="90"/>
    </row>
    <row r="407" ht="18.75">
      <c r="D407" s="90"/>
    </row>
    <row r="408" ht="18.75">
      <c r="D408" s="90"/>
    </row>
    <row r="409" ht="18.75">
      <c r="D409" s="90"/>
    </row>
    <row r="410" ht="18.75">
      <c r="D410" s="90"/>
    </row>
    <row r="411" ht="18.75">
      <c r="D411" s="90"/>
    </row>
    <row r="412" ht="18.75">
      <c r="D412" s="90"/>
    </row>
    <row r="413" ht="18.75">
      <c r="D413" s="90"/>
    </row>
    <row r="414" ht="18.75">
      <c r="D414" s="90"/>
    </row>
    <row r="415" ht="18.75">
      <c r="D415" s="90"/>
    </row>
    <row r="416" ht="18.75">
      <c r="D416" s="90"/>
    </row>
    <row r="417" ht="18.75">
      <c r="D417" s="90"/>
    </row>
    <row r="418" ht="18.75">
      <c r="D418" s="90"/>
    </row>
    <row r="419" ht="18.75">
      <c r="D419" s="90"/>
    </row>
    <row r="420" ht="18.75">
      <c r="D420" s="90"/>
    </row>
    <row r="421" ht="18.75">
      <c r="D421" s="90"/>
    </row>
    <row r="422" ht="18.75">
      <c r="D422" s="90"/>
    </row>
    <row r="423" ht="18.75">
      <c r="D423" s="90"/>
    </row>
    <row r="424" ht="18.75">
      <c r="D424" s="90"/>
    </row>
    <row r="425" ht="18.75">
      <c r="D425" s="90"/>
    </row>
    <row r="426" ht="18.75">
      <c r="D426" s="90"/>
    </row>
    <row r="427" ht="18.75">
      <c r="D427" s="90"/>
    </row>
    <row r="428" ht="18.75">
      <c r="D428" s="90"/>
    </row>
    <row r="429" ht="18.75">
      <c r="D429" s="90"/>
    </row>
    <row r="430" ht="18.75">
      <c r="D430" s="90"/>
    </row>
    <row r="431" ht="18.75">
      <c r="D431" s="90"/>
    </row>
    <row r="432" ht="18.75">
      <c r="D432" s="90"/>
    </row>
    <row r="433" ht="18.75">
      <c r="D433" s="90"/>
    </row>
    <row r="434" ht="18.75">
      <c r="D434" s="90"/>
    </row>
    <row r="435" ht="18.75">
      <c r="D435" s="90"/>
    </row>
    <row r="436" ht="18.75">
      <c r="D436" s="90"/>
    </row>
    <row r="437" ht="18.75">
      <c r="D437" s="90"/>
    </row>
    <row r="438" ht="18.75">
      <c r="D438" s="90"/>
    </row>
    <row r="439" ht="18.75">
      <c r="D439" s="90"/>
    </row>
    <row r="440" ht="18.75">
      <c r="D440" s="90"/>
    </row>
    <row r="441" ht="18.75">
      <c r="D441" s="90"/>
    </row>
    <row r="442" ht="18.75">
      <c r="D442" s="90"/>
    </row>
    <row r="443" ht="18.75">
      <c r="D443" s="90"/>
    </row>
    <row r="444" ht="18.75">
      <c r="D444" s="90"/>
    </row>
    <row r="445" ht="18.75">
      <c r="D445" s="90"/>
    </row>
    <row r="446" ht="18.75">
      <c r="D446" s="90"/>
    </row>
    <row r="447" ht="18.75">
      <c r="D447" s="90"/>
    </row>
    <row r="448" ht="18.75">
      <c r="D448" s="90"/>
    </row>
    <row r="449" ht="18.75">
      <c r="D449" s="90"/>
    </row>
    <row r="450" ht="18.75">
      <c r="D450" s="90"/>
    </row>
    <row r="451" ht="18.75">
      <c r="D451" s="90"/>
    </row>
    <row r="452" ht="18.75">
      <c r="D452" s="90"/>
    </row>
    <row r="453" ht="18.75">
      <c r="D453" s="90"/>
    </row>
    <row r="454" ht="18.75">
      <c r="D454" s="90"/>
    </row>
    <row r="455" ht="18.75">
      <c r="D455" s="90"/>
    </row>
    <row r="456" ht="18.75">
      <c r="D456" s="90"/>
    </row>
    <row r="457" ht="18.75">
      <c r="D457" s="90"/>
    </row>
    <row r="458" ht="18.75">
      <c r="D458" s="90"/>
    </row>
    <row r="459" ht="18.75">
      <c r="D459" s="90"/>
    </row>
    <row r="460" ht="18.75">
      <c r="D460" s="90"/>
    </row>
    <row r="461" ht="18.75">
      <c r="D461" s="90"/>
    </row>
    <row r="462" ht="18.75">
      <c r="D462" s="90"/>
    </row>
    <row r="463" ht="18.75">
      <c r="D463" s="90"/>
    </row>
    <row r="464" ht="18.75">
      <c r="D464" s="90"/>
    </row>
    <row r="465" ht="18.75">
      <c r="D465" s="90"/>
    </row>
    <row r="466" ht="18.75">
      <c r="D466" s="90"/>
    </row>
    <row r="467" ht="18.75">
      <c r="D467" s="90"/>
    </row>
    <row r="468" ht="18.75">
      <c r="D468" s="90"/>
    </row>
    <row r="469" ht="18.75">
      <c r="D469" s="90"/>
    </row>
    <row r="470" ht="18.75">
      <c r="D470" s="90"/>
    </row>
    <row r="471" ht="18.75">
      <c r="D471" s="90"/>
    </row>
    <row r="472" ht="18.75">
      <c r="D472" s="90"/>
    </row>
    <row r="473" ht="18.75">
      <c r="D473" s="90"/>
    </row>
    <row r="474" ht="18.75">
      <c r="D474" s="90"/>
    </row>
    <row r="475" ht="18.75">
      <c r="D475" s="90"/>
    </row>
    <row r="476" ht="18.75">
      <c r="D476" s="90"/>
    </row>
    <row r="477" ht="18.75">
      <c r="D477" s="90"/>
    </row>
    <row r="478" ht="18.75">
      <c r="D478" s="90"/>
    </row>
    <row r="479" ht="18.75">
      <c r="D479" s="90"/>
    </row>
    <row r="480" ht="18.75">
      <c r="D480" s="90"/>
    </row>
    <row r="481" ht="18.75">
      <c r="D481" s="90"/>
    </row>
    <row r="482" ht="18.75">
      <c r="D482" s="90"/>
    </row>
    <row r="483" ht="18.75">
      <c r="D483" s="90"/>
    </row>
    <row r="484" ht="18.75">
      <c r="D484" s="90"/>
    </row>
    <row r="485" ht="18.75">
      <c r="D485" s="90"/>
    </row>
    <row r="486" ht="18.75">
      <c r="D486" s="90"/>
    </row>
    <row r="487" ht="18.75">
      <c r="D487" s="90"/>
    </row>
    <row r="488" ht="18.75">
      <c r="D488" s="90"/>
    </row>
    <row r="489" ht="18.75">
      <c r="D489" s="90"/>
    </row>
    <row r="490" ht="18.75">
      <c r="D490" s="90"/>
    </row>
    <row r="491" ht="18.75">
      <c r="D491" s="90"/>
    </row>
    <row r="492" ht="18.75">
      <c r="D492" s="90"/>
    </row>
    <row r="493" ht="18.75">
      <c r="D493" s="90"/>
    </row>
    <row r="494" ht="18.75">
      <c r="D494" s="90"/>
    </row>
    <row r="495" ht="18.75">
      <c r="D495" s="90"/>
    </row>
    <row r="496" ht="18.75">
      <c r="D496" s="90"/>
    </row>
    <row r="497" ht="18.75">
      <c r="D497" s="90"/>
    </row>
    <row r="498" ht="18.75">
      <c r="D498" s="90"/>
    </row>
    <row r="499" ht="18.75">
      <c r="D499" s="90"/>
    </row>
    <row r="500" ht="18.75">
      <c r="D500" s="90"/>
    </row>
    <row r="501" ht="18.75">
      <c r="D501" s="90"/>
    </row>
    <row r="502" ht="18.75">
      <c r="D502" s="90"/>
    </row>
    <row r="503" ht="18.75">
      <c r="D503" s="90"/>
    </row>
    <row r="504" ht="18.75">
      <c r="D504" s="90"/>
    </row>
    <row r="505" ht="18.75">
      <c r="D505" s="90"/>
    </row>
    <row r="506" ht="18.75">
      <c r="D506" s="90"/>
    </row>
    <row r="507" ht="18.75">
      <c r="D507" s="90"/>
    </row>
    <row r="508" ht="18.75">
      <c r="D508" s="90"/>
    </row>
    <row r="509" ht="18.75">
      <c r="D509" s="90"/>
    </row>
    <row r="510" ht="18.75">
      <c r="D510" s="90"/>
    </row>
    <row r="511" ht="18.75">
      <c r="D511" s="90"/>
    </row>
    <row r="512" ht="18.75">
      <c r="D512" s="90"/>
    </row>
    <row r="513" ht="18.75">
      <c r="D513" s="90"/>
    </row>
    <row r="514" ht="18.75">
      <c r="D514" s="90"/>
    </row>
    <row r="515" ht="18.75">
      <c r="D515" s="90"/>
    </row>
    <row r="516" ht="18.75">
      <c r="D516" s="90"/>
    </row>
    <row r="517" ht="18.75">
      <c r="D517" s="90"/>
    </row>
    <row r="518" ht="18.75">
      <c r="D518" s="90"/>
    </row>
    <row r="519" ht="18.75">
      <c r="D519" s="90"/>
    </row>
    <row r="520" ht="18.75">
      <c r="D520" s="90"/>
    </row>
    <row r="521" ht="18.75">
      <c r="D521" s="90"/>
    </row>
    <row r="522" ht="18.75">
      <c r="D522" s="90"/>
    </row>
    <row r="523" ht="18.75">
      <c r="D523" s="90"/>
    </row>
    <row r="524" ht="18.75">
      <c r="D524" s="90"/>
    </row>
    <row r="525" ht="18.75">
      <c r="D525" s="90"/>
    </row>
    <row r="526" ht="18.75">
      <c r="D526" s="90"/>
    </row>
    <row r="527" ht="18.75">
      <c r="D527" s="90"/>
    </row>
    <row r="528" ht="18.75">
      <c r="D528" s="90"/>
    </row>
    <row r="529" ht="18.75">
      <c r="D529" s="90"/>
    </row>
    <row r="530" ht="18.75">
      <c r="D530" s="90"/>
    </row>
    <row r="531" ht="18.75">
      <c r="D531" s="90"/>
    </row>
    <row r="532" ht="18.75">
      <c r="D532" s="90"/>
    </row>
    <row r="533" ht="18.75">
      <c r="D533" s="90"/>
    </row>
    <row r="534" ht="18.75">
      <c r="D534" s="90"/>
    </row>
    <row r="535" ht="18.75">
      <c r="D535" s="90"/>
    </row>
    <row r="536" ht="18.75">
      <c r="D536" s="90"/>
    </row>
    <row r="537" ht="18.75">
      <c r="D537" s="90"/>
    </row>
    <row r="538" ht="18.75">
      <c r="D538" s="90"/>
    </row>
    <row r="539" ht="18.75">
      <c r="D539" s="90"/>
    </row>
    <row r="540" ht="18.75">
      <c r="D540" s="90"/>
    </row>
    <row r="541" ht="18.75">
      <c r="D541" s="90"/>
    </row>
    <row r="542" ht="18.75">
      <c r="D542" s="90"/>
    </row>
    <row r="543" ht="18.75">
      <c r="D543" s="90"/>
    </row>
    <row r="544" ht="18.75">
      <c r="D544" s="90"/>
    </row>
    <row r="545" ht="18.75">
      <c r="D545" s="90"/>
    </row>
    <row r="546" ht="18.75">
      <c r="D546" s="90"/>
    </row>
    <row r="547" ht="18.75">
      <c r="D547" s="90"/>
    </row>
    <row r="548" ht="18.75">
      <c r="D548" s="90"/>
    </row>
    <row r="549" ht="18.75">
      <c r="D549" s="90"/>
    </row>
    <row r="550" ht="18.75">
      <c r="D550" s="90"/>
    </row>
    <row r="551" ht="18.75">
      <c r="D551" s="90"/>
    </row>
    <row r="552" ht="18.75">
      <c r="D552" s="90"/>
    </row>
    <row r="553" ht="18.75">
      <c r="D553" s="90"/>
    </row>
    <row r="554" ht="18.75">
      <c r="D554" s="90"/>
    </row>
    <row r="555" ht="18.75">
      <c r="D555" s="90"/>
    </row>
    <row r="556" ht="18.75">
      <c r="D556" s="90"/>
    </row>
    <row r="557" ht="18.75">
      <c r="D557" s="90"/>
    </row>
    <row r="558" ht="18.75">
      <c r="D558" s="90"/>
    </row>
    <row r="559" ht="18.75">
      <c r="D559" s="90"/>
    </row>
    <row r="560" ht="18.75">
      <c r="D560" s="90"/>
    </row>
    <row r="561" ht="18.75">
      <c r="D561" s="90"/>
    </row>
    <row r="562" ht="18.75">
      <c r="D562" s="90"/>
    </row>
    <row r="563" ht="18.75">
      <c r="D563" s="90"/>
    </row>
    <row r="564" ht="18.75">
      <c r="D564" s="90"/>
    </row>
    <row r="565" ht="18.75">
      <c r="D565" s="90"/>
    </row>
    <row r="566" ht="18.75">
      <c r="D566" s="90"/>
    </row>
    <row r="567" ht="18.75">
      <c r="D567" s="90"/>
    </row>
    <row r="568" ht="18.75">
      <c r="D568" s="90"/>
    </row>
    <row r="569" ht="18.75">
      <c r="D569" s="90"/>
    </row>
    <row r="570" ht="18.75">
      <c r="D570" s="90"/>
    </row>
    <row r="571" ht="18.75">
      <c r="D571" s="90"/>
    </row>
    <row r="572" ht="18.75">
      <c r="D572" s="90"/>
    </row>
    <row r="573" ht="18.75">
      <c r="D573" s="90"/>
    </row>
    <row r="574" ht="18.75">
      <c r="D574" s="90"/>
    </row>
    <row r="575" ht="18.75">
      <c r="D575" s="90"/>
    </row>
    <row r="576" ht="18.75">
      <c r="D576" s="90"/>
    </row>
    <row r="577" ht="18.75">
      <c r="D577" s="90"/>
    </row>
    <row r="578" ht="18.75">
      <c r="D578" s="90"/>
    </row>
    <row r="579" ht="18.75">
      <c r="D579" s="90"/>
    </row>
    <row r="580" ht="18.75">
      <c r="D580" s="90"/>
    </row>
    <row r="581" ht="18.75">
      <c r="D581" s="90"/>
    </row>
    <row r="582" ht="18.75">
      <c r="D582" s="90"/>
    </row>
    <row r="583" ht="18.75">
      <c r="D583" s="90"/>
    </row>
    <row r="584" ht="18.75">
      <c r="D584" s="90"/>
    </row>
    <row r="585" ht="18.75">
      <c r="D585" s="90"/>
    </row>
    <row r="586" ht="18.75">
      <c r="D586" s="90"/>
    </row>
    <row r="587" ht="18.75">
      <c r="D587" s="90"/>
    </row>
    <row r="588" ht="18.75">
      <c r="D588" s="90"/>
    </row>
    <row r="589" ht="18.75">
      <c r="D589" s="90"/>
    </row>
    <row r="590" ht="18.75">
      <c r="D590" s="90"/>
    </row>
    <row r="591" ht="18.75">
      <c r="D591" s="90"/>
    </row>
    <row r="592" ht="18.75">
      <c r="D592" s="90"/>
    </row>
    <row r="593" ht="18.75">
      <c r="D593" s="90"/>
    </row>
    <row r="594" ht="18.75">
      <c r="D594" s="90"/>
    </row>
    <row r="595" ht="18.75">
      <c r="D595" s="90"/>
    </row>
    <row r="596" ht="18.75">
      <c r="D596" s="90"/>
    </row>
    <row r="597" ht="18.75">
      <c r="D597" s="90"/>
    </row>
    <row r="598" ht="18.75">
      <c r="D598" s="90"/>
    </row>
    <row r="599" ht="18.75">
      <c r="D599" s="90"/>
    </row>
    <row r="600" ht="18.75">
      <c r="D600" s="90"/>
    </row>
    <row r="601" ht="18.75">
      <c r="D601" s="90"/>
    </row>
    <row r="602" ht="18.75">
      <c r="D602" s="90"/>
    </row>
    <row r="603" ht="18.75">
      <c r="D603" s="90"/>
    </row>
    <row r="604" ht="18.75">
      <c r="D604" s="90"/>
    </row>
    <row r="605" ht="18.75">
      <c r="D605" s="90"/>
    </row>
    <row r="606" ht="18.75">
      <c r="D606" s="90"/>
    </row>
    <row r="607" ht="18.75">
      <c r="D607" s="90"/>
    </row>
    <row r="608" ht="18.75">
      <c r="D608" s="90"/>
    </row>
    <row r="609" ht="18.75">
      <c r="D609" s="90"/>
    </row>
    <row r="610" ht="18.75">
      <c r="D610" s="90"/>
    </row>
    <row r="611" ht="18.75">
      <c r="D611" s="90"/>
    </row>
    <row r="612" ht="18.75">
      <c r="D612" s="90"/>
    </row>
    <row r="613" ht="18.75">
      <c r="D613" s="90"/>
    </row>
    <row r="614" ht="18.75">
      <c r="D614" s="90"/>
    </row>
    <row r="615" ht="18.75">
      <c r="D615" s="90"/>
    </row>
    <row r="616" ht="18.75">
      <c r="D616" s="90"/>
    </row>
    <row r="617" ht="18.75">
      <c r="D617" s="90"/>
    </row>
    <row r="618" ht="18.75">
      <c r="D618" s="90"/>
    </row>
    <row r="619" ht="18.75">
      <c r="D619" s="90"/>
    </row>
    <row r="620" ht="18.75">
      <c r="D620" s="90"/>
    </row>
    <row r="621" ht="18.75">
      <c r="D621" s="90"/>
    </row>
    <row r="622" ht="18.75">
      <c r="D622" s="90"/>
    </row>
    <row r="623" ht="18.75">
      <c r="D623" s="90"/>
    </row>
    <row r="624" ht="18.75">
      <c r="D624" s="90"/>
    </row>
    <row r="625" ht="18.75">
      <c r="D625" s="90"/>
    </row>
    <row r="626" ht="18.75">
      <c r="D626" s="90"/>
    </row>
    <row r="627" ht="18.75">
      <c r="D627" s="90"/>
    </row>
    <row r="628" ht="18.75">
      <c r="D628" s="90"/>
    </row>
    <row r="629" ht="18.75">
      <c r="D629" s="90"/>
    </row>
    <row r="630" ht="18.75">
      <c r="D630" s="90"/>
    </row>
    <row r="631" ht="18.75">
      <c r="D631" s="90"/>
    </row>
    <row r="632" ht="18.75">
      <c r="D632" s="90"/>
    </row>
    <row r="633" ht="18.75">
      <c r="D633" s="90"/>
    </row>
    <row r="634" ht="18.75">
      <c r="D634" s="90"/>
    </row>
    <row r="635" ht="18.75">
      <c r="D635" s="90"/>
    </row>
    <row r="636" ht="18.75">
      <c r="D636" s="90"/>
    </row>
    <row r="637" ht="18.75">
      <c r="D637" s="90"/>
    </row>
    <row r="638" ht="18.75">
      <c r="D638" s="90"/>
    </row>
    <row r="639" ht="18.75">
      <c r="D639" s="90"/>
    </row>
    <row r="640" ht="18.75">
      <c r="D640" s="90"/>
    </row>
    <row r="641" ht="18.75">
      <c r="D641" s="90"/>
    </row>
    <row r="642" ht="18.75">
      <c r="D642" s="90"/>
    </row>
    <row r="643" ht="18.75">
      <c r="D643" s="90"/>
    </row>
    <row r="644" ht="18.75">
      <c r="D644" s="90"/>
    </row>
    <row r="645" ht="18.75">
      <c r="D645" s="90"/>
    </row>
    <row r="646" ht="18.75">
      <c r="D646" s="90"/>
    </row>
    <row r="647" ht="18.75">
      <c r="D647" s="90"/>
    </row>
    <row r="648" ht="18.75">
      <c r="D648" s="90"/>
    </row>
    <row r="649" ht="18.75">
      <c r="D649" s="90"/>
    </row>
    <row r="650" ht="18.75">
      <c r="D650" s="90"/>
    </row>
    <row r="651" ht="18.75">
      <c r="D651" s="90"/>
    </row>
    <row r="652" ht="18.75">
      <c r="D652" s="90"/>
    </row>
    <row r="653" ht="18.75">
      <c r="D653" s="90"/>
    </row>
    <row r="654" ht="18.75">
      <c r="D654" s="90"/>
    </row>
    <row r="655" ht="18.75">
      <c r="D655" s="90"/>
    </row>
    <row r="656" ht="18.75">
      <c r="D656" s="90"/>
    </row>
    <row r="657" ht="18.75">
      <c r="D657" s="90"/>
    </row>
    <row r="658" ht="18.75">
      <c r="D658" s="90"/>
    </row>
    <row r="659" ht="18.75">
      <c r="D659" s="90"/>
    </row>
    <row r="660" ht="18.75">
      <c r="D660" s="90"/>
    </row>
    <row r="661" ht="18.75">
      <c r="D661" s="90"/>
    </row>
    <row r="662" ht="18.75">
      <c r="D662" s="90"/>
    </row>
    <row r="663" ht="18.75">
      <c r="D663" s="90"/>
    </row>
    <row r="664" ht="18.75">
      <c r="D664" s="90"/>
    </row>
    <row r="665" ht="18.75">
      <c r="D665" s="90"/>
    </row>
    <row r="666" ht="18.75">
      <c r="D666" s="90"/>
    </row>
    <row r="667" ht="18.75">
      <c r="D667" s="90"/>
    </row>
    <row r="668" ht="18.75">
      <c r="D668" s="90"/>
    </row>
    <row r="669" ht="18.75">
      <c r="D669" s="90"/>
    </row>
    <row r="670" ht="18.75">
      <c r="D670" s="90"/>
    </row>
    <row r="671" ht="18.75">
      <c r="D671" s="90"/>
    </row>
    <row r="672" ht="18.75">
      <c r="D672" s="90"/>
    </row>
    <row r="673" ht="18.75">
      <c r="D673" s="90"/>
    </row>
    <row r="674" ht="18.75">
      <c r="D674" s="90"/>
    </row>
    <row r="675" ht="18.75">
      <c r="D675" s="90"/>
    </row>
    <row r="676" ht="18.75">
      <c r="D676" s="90"/>
    </row>
    <row r="677" ht="18.75">
      <c r="D677" s="90"/>
    </row>
    <row r="678" ht="18.75">
      <c r="D678" s="90"/>
    </row>
    <row r="679" ht="18.75">
      <c r="D679" s="90"/>
    </row>
    <row r="680" ht="18.75">
      <c r="D680" s="90"/>
    </row>
    <row r="681" ht="18.75">
      <c r="D681" s="90"/>
    </row>
    <row r="682" ht="18.75">
      <c r="D682" s="90"/>
    </row>
    <row r="683" ht="18.75">
      <c r="D683" s="90"/>
    </row>
    <row r="684" ht="18.75">
      <c r="D684" s="90"/>
    </row>
    <row r="685" ht="18.75">
      <c r="D685" s="90"/>
    </row>
    <row r="686" ht="18.75">
      <c r="D686" s="90"/>
    </row>
    <row r="687" ht="18.75">
      <c r="D687" s="90"/>
    </row>
    <row r="688" ht="18.75">
      <c r="D688" s="90"/>
    </row>
    <row r="689" ht="18.75">
      <c r="D689" s="90"/>
    </row>
    <row r="690" ht="18.75">
      <c r="D690" s="90"/>
    </row>
    <row r="691" ht="18.75">
      <c r="D691" s="90"/>
    </row>
    <row r="692" ht="18.75">
      <c r="D692" s="90"/>
    </row>
    <row r="693" ht="18.75">
      <c r="D693" s="90"/>
    </row>
    <row r="694" ht="18.75">
      <c r="D694" s="90"/>
    </row>
    <row r="695" ht="18.75">
      <c r="D695" s="90"/>
    </row>
    <row r="696" ht="18.75">
      <c r="D696" s="90"/>
    </row>
    <row r="697" ht="18.75">
      <c r="D697" s="90"/>
    </row>
    <row r="698" ht="18.75">
      <c r="D698" s="90"/>
    </row>
    <row r="699" ht="18.75">
      <c r="D699" s="90"/>
    </row>
    <row r="700" ht="18.75">
      <c r="D700" s="90"/>
    </row>
    <row r="701" ht="18.75">
      <c r="D701" s="90"/>
    </row>
    <row r="702" ht="18.75">
      <c r="D702" s="90"/>
    </row>
    <row r="703" ht="18.75">
      <c r="D703" s="90"/>
    </row>
    <row r="704" ht="18.75">
      <c r="D704" s="90"/>
    </row>
    <row r="705" ht="18.75">
      <c r="D705" s="90"/>
    </row>
    <row r="706" ht="18.75">
      <c r="D706" s="90"/>
    </row>
    <row r="707" ht="18.75">
      <c r="D707" s="90"/>
    </row>
    <row r="708" ht="18.75">
      <c r="D708" s="90"/>
    </row>
    <row r="709" ht="18.75">
      <c r="D709" s="90"/>
    </row>
    <row r="710" ht="18.75">
      <c r="D710" s="90"/>
    </row>
    <row r="711" ht="18.75">
      <c r="D711" s="90"/>
    </row>
    <row r="712" ht="18.75">
      <c r="D712" s="90"/>
    </row>
    <row r="713" ht="18.75">
      <c r="D713" s="90"/>
    </row>
    <row r="714" ht="18.75">
      <c r="D714" s="90"/>
    </row>
    <row r="715" ht="18.75">
      <c r="D715" s="90"/>
    </row>
    <row r="716" ht="18.75">
      <c r="D716" s="90"/>
    </row>
    <row r="717" ht="18.75">
      <c r="D717" s="90"/>
    </row>
    <row r="718" ht="18.75">
      <c r="D718" s="90"/>
    </row>
    <row r="719" ht="18.75">
      <c r="D719" s="90"/>
    </row>
    <row r="720" ht="18.75">
      <c r="D720" s="90"/>
    </row>
    <row r="721" ht="18.75">
      <c r="D721" s="90"/>
    </row>
    <row r="722" ht="18.75">
      <c r="D722" s="90"/>
    </row>
    <row r="723" ht="18.75">
      <c r="D723" s="90"/>
    </row>
    <row r="724" ht="18.75">
      <c r="D724" s="90"/>
    </row>
    <row r="725" ht="18.75">
      <c r="D725" s="90"/>
    </row>
    <row r="726" ht="18.75">
      <c r="D726" s="90"/>
    </row>
    <row r="727" ht="18.75">
      <c r="D727" s="90"/>
    </row>
    <row r="728" ht="18.75">
      <c r="D728" s="90"/>
    </row>
    <row r="729" ht="18.75">
      <c r="D729" s="90"/>
    </row>
    <row r="730" ht="18.75">
      <c r="D730" s="90"/>
    </row>
    <row r="731" ht="18.75">
      <c r="D731" s="90"/>
    </row>
    <row r="732" ht="18.75">
      <c r="D732" s="90"/>
    </row>
    <row r="733" ht="18.75">
      <c r="D733" s="90"/>
    </row>
    <row r="734" ht="18.75">
      <c r="D734" s="90"/>
    </row>
    <row r="735" ht="18.75">
      <c r="D735" s="90"/>
    </row>
    <row r="736" ht="18.75">
      <c r="D736" s="90"/>
    </row>
    <row r="737" ht="18.75">
      <c r="D737" s="90"/>
    </row>
    <row r="738" ht="18.75">
      <c r="D738" s="90"/>
    </row>
    <row r="739" ht="18.75">
      <c r="D739" s="90"/>
    </row>
    <row r="740" ht="18.75">
      <c r="D740" s="90"/>
    </row>
    <row r="741" ht="18.75">
      <c r="D741" s="90"/>
    </row>
    <row r="742" ht="18.75">
      <c r="D742" s="90"/>
    </row>
    <row r="743" ht="18.75">
      <c r="D743" s="90"/>
    </row>
    <row r="744" ht="18.75">
      <c r="D744" s="90"/>
    </row>
    <row r="745" ht="18.75">
      <c r="D745" s="90"/>
    </row>
    <row r="746" ht="18.75">
      <c r="D746" s="90"/>
    </row>
    <row r="747" ht="18.75">
      <c r="D747" s="90"/>
    </row>
    <row r="748" ht="18.75">
      <c r="D748" s="90"/>
    </row>
    <row r="749" ht="18.75">
      <c r="D749" s="90"/>
    </row>
    <row r="750" ht="18.75">
      <c r="D750" s="90"/>
    </row>
    <row r="751" ht="18.75">
      <c r="D751" s="90"/>
    </row>
    <row r="752" ht="18.75">
      <c r="D752" s="90"/>
    </row>
    <row r="753" ht="18.75">
      <c r="D753" s="90"/>
    </row>
    <row r="754" ht="18.75">
      <c r="D754" s="90"/>
    </row>
    <row r="755" ht="18.75">
      <c r="D755" s="90"/>
    </row>
    <row r="756" ht="18.75">
      <c r="D756" s="90"/>
    </row>
    <row r="757" ht="18.75">
      <c r="D757" s="90"/>
    </row>
    <row r="758" ht="18.75">
      <c r="D758" s="90"/>
    </row>
    <row r="759" ht="18.75">
      <c r="D759" s="90"/>
    </row>
    <row r="760" ht="18.75">
      <c r="D760" s="90"/>
    </row>
    <row r="761" ht="18.75">
      <c r="D761" s="90"/>
    </row>
    <row r="762" ht="18.75">
      <c r="D762" s="90"/>
    </row>
    <row r="763" ht="18.75">
      <c r="D763" s="90"/>
    </row>
    <row r="764" ht="18.75">
      <c r="D764" s="90"/>
    </row>
    <row r="765" ht="18.75">
      <c r="D765" s="90"/>
    </row>
    <row r="766" ht="18.75">
      <c r="D766" s="90"/>
    </row>
    <row r="767" ht="18.75">
      <c r="D767" s="90"/>
    </row>
    <row r="768" ht="18.75">
      <c r="D768" s="90"/>
    </row>
    <row r="769" ht="18.75">
      <c r="D769" s="90"/>
    </row>
    <row r="770" ht="18.75">
      <c r="D770" s="90"/>
    </row>
    <row r="771" ht="18.75">
      <c r="D771" s="90"/>
    </row>
    <row r="772" ht="18.75">
      <c r="D772" s="90"/>
    </row>
    <row r="773" ht="18.75">
      <c r="D773" s="90"/>
    </row>
    <row r="774" ht="18.75">
      <c r="D774" s="90"/>
    </row>
    <row r="775" ht="18.75">
      <c r="D775" s="90"/>
    </row>
    <row r="776" ht="18.75">
      <c r="D776" s="90"/>
    </row>
    <row r="777" ht="18.75">
      <c r="D777" s="90"/>
    </row>
    <row r="778" ht="18.75">
      <c r="D778" s="90"/>
    </row>
    <row r="779" ht="18.75">
      <c r="D779" s="90"/>
    </row>
    <row r="780" ht="18.75">
      <c r="D780" s="90"/>
    </row>
    <row r="781" ht="18.75">
      <c r="D781" s="90"/>
    </row>
    <row r="782" ht="18.75">
      <c r="D782" s="90"/>
    </row>
    <row r="783" ht="18.75">
      <c r="D783" s="90"/>
    </row>
    <row r="784" ht="18.75">
      <c r="D784" s="90"/>
    </row>
    <row r="785" ht="18.75">
      <c r="D785" s="90"/>
    </row>
    <row r="786" ht="18.75">
      <c r="D786" s="90"/>
    </row>
    <row r="787" ht="18.75">
      <c r="D787" s="90"/>
    </row>
    <row r="788" ht="18.75">
      <c r="D788" s="90"/>
    </row>
    <row r="789" ht="18.75">
      <c r="D789" s="90"/>
    </row>
    <row r="790" ht="18.75">
      <c r="D790" s="90"/>
    </row>
    <row r="791" ht="18.75">
      <c r="D791" s="90"/>
    </row>
    <row r="792" ht="18.75">
      <c r="D792" s="90"/>
    </row>
    <row r="793" ht="18.75">
      <c r="D793" s="90"/>
    </row>
    <row r="794" ht="18.75">
      <c r="D794" s="90"/>
    </row>
    <row r="795" ht="18.75">
      <c r="D795" s="90"/>
    </row>
    <row r="796" ht="18.75">
      <c r="D796" s="90"/>
    </row>
    <row r="797" ht="18.75">
      <c r="D797" s="90"/>
    </row>
    <row r="798" ht="18.75">
      <c r="D798" s="90"/>
    </row>
    <row r="799" ht="18.75">
      <c r="D799" s="90"/>
    </row>
    <row r="800" ht="18.75">
      <c r="D800" s="90"/>
    </row>
    <row r="801" ht="18.75">
      <c r="D801" s="90"/>
    </row>
    <row r="802" ht="18.75">
      <c r="D802" s="90"/>
    </row>
    <row r="803" ht="18.75">
      <c r="D803" s="90"/>
    </row>
    <row r="804" ht="18.75">
      <c r="D804" s="90"/>
    </row>
    <row r="805" ht="18.75">
      <c r="D805" s="90"/>
    </row>
    <row r="806" ht="18.75">
      <c r="D806" s="90"/>
    </row>
    <row r="807" ht="18.75">
      <c r="D807" s="90"/>
    </row>
    <row r="808" ht="18.75">
      <c r="D808" s="90"/>
    </row>
    <row r="809" ht="18.75">
      <c r="D809" s="90"/>
    </row>
    <row r="810" ht="18.75">
      <c r="D810" s="90"/>
    </row>
    <row r="811" ht="18.75">
      <c r="D811" s="90"/>
    </row>
    <row r="812" ht="18.75">
      <c r="D812" s="90"/>
    </row>
    <row r="813" ht="18.75">
      <c r="D813" s="90"/>
    </row>
    <row r="814" ht="18.75">
      <c r="D814" s="90"/>
    </row>
    <row r="815" ht="18.75">
      <c r="D815" s="90"/>
    </row>
    <row r="816" ht="18.75">
      <c r="D816" s="90"/>
    </row>
    <row r="817" ht="18.75">
      <c r="D817" s="90"/>
    </row>
    <row r="818" ht="18.75">
      <c r="D818" s="90"/>
    </row>
    <row r="819" ht="18.75">
      <c r="D819" s="90"/>
    </row>
    <row r="820" ht="18.75">
      <c r="D820" s="90"/>
    </row>
    <row r="821" ht="18.75">
      <c r="D821" s="90"/>
    </row>
    <row r="822" ht="18.75">
      <c r="D822" s="90"/>
    </row>
    <row r="823" ht="18.75">
      <c r="D823" s="90"/>
    </row>
    <row r="824" ht="18.75">
      <c r="D824" s="90"/>
    </row>
    <row r="825" ht="18.75">
      <c r="D825" s="90"/>
    </row>
    <row r="826" ht="18.75">
      <c r="D826" s="90"/>
    </row>
    <row r="827" ht="18.75">
      <c r="D827" s="90"/>
    </row>
    <row r="828" ht="18.75">
      <c r="D828" s="90"/>
    </row>
    <row r="829" ht="18.75">
      <c r="D829" s="90"/>
    </row>
    <row r="830" ht="18.75">
      <c r="D830" s="90"/>
    </row>
    <row r="831" ht="18.75">
      <c r="D831" s="90"/>
    </row>
    <row r="832" ht="18.75">
      <c r="D832" s="90"/>
    </row>
    <row r="833" ht="18.75">
      <c r="D833" s="90"/>
    </row>
    <row r="834" ht="18.75">
      <c r="D834" s="90"/>
    </row>
    <row r="835" ht="18.75">
      <c r="D835" s="90"/>
    </row>
    <row r="836" ht="18.75">
      <c r="D836" s="90"/>
    </row>
    <row r="837" ht="18.75">
      <c r="D837" s="90"/>
    </row>
    <row r="838" ht="18.75">
      <c r="D838" s="90"/>
    </row>
    <row r="839" ht="18.75">
      <c r="D839" s="90"/>
    </row>
    <row r="840" ht="18.75">
      <c r="D840" s="90"/>
    </row>
    <row r="841" ht="18.75">
      <c r="D841" s="90"/>
    </row>
    <row r="842" ht="18.75">
      <c r="D842" s="90"/>
    </row>
    <row r="843" ht="18.75">
      <c r="D843" s="90"/>
    </row>
    <row r="844" ht="18.75">
      <c r="D844" s="90"/>
    </row>
    <row r="845" ht="18.75">
      <c r="D845" s="90"/>
    </row>
    <row r="846" ht="18.75">
      <c r="D846" s="90"/>
    </row>
    <row r="847" ht="18.75">
      <c r="D847" s="90"/>
    </row>
    <row r="848" ht="18.75">
      <c r="D848" s="90"/>
    </row>
    <row r="849" ht="18.75">
      <c r="D849" s="90"/>
    </row>
    <row r="850" ht="18.75">
      <c r="D850" s="90"/>
    </row>
    <row r="851" ht="18.75">
      <c r="D851" s="90"/>
    </row>
    <row r="852" ht="18.75">
      <c r="D852" s="90"/>
    </row>
    <row r="853" ht="18.75">
      <c r="D853" s="90"/>
    </row>
    <row r="854" ht="18.75">
      <c r="D854" s="90"/>
    </row>
    <row r="855" ht="18.75">
      <c r="D855" s="90"/>
    </row>
    <row r="856" ht="18.75">
      <c r="D856" s="90"/>
    </row>
    <row r="857" ht="18.75">
      <c r="D857" s="90"/>
    </row>
    <row r="858" ht="18.75">
      <c r="D858" s="90"/>
    </row>
    <row r="859" ht="18.75">
      <c r="D859" s="90"/>
    </row>
    <row r="860" ht="18.75">
      <c r="D860" s="90"/>
    </row>
    <row r="861" ht="18.75">
      <c r="D861" s="90"/>
    </row>
    <row r="862" ht="18.75">
      <c r="D862" s="90"/>
    </row>
    <row r="863" ht="18.75">
      <c r="D863" s="90"/>
    </row>
    <row r="864" ht="18.75">
      <c r="D864" s="90"/>
    </row>
    <row r="865" ht="18.75">
      <c r="D865" s="90"/>
    </row>
    <row r="866" ht="18.75">
      <c r="D866" s="90"/>
    </row>
    <row r="867" ht="18.75">
      <c r="D867" s="90"/>
    </row>
    <row r="868" ht="18.75">
      <c r="D868" s="90"/>
    </row>
    <row r="869" ht="18.75">
      <c r="D869" s="90"/>
    </row>
    <row r="870" ht="18.75">
      <c r="D870" s="90"/>
    </row>
    <row r="871" ht="18.75">
      <c r="D871" s="90"/>
    </row>
    <row r="872" ht="18.75">
      <c r="D872" s="90"/>
    </row>
    <row r="873" ht="18.75">
      <c r="D873" s="90"/>
    </row>
    <row r="874" ht="18.75">
      <c r="D874" s="90"/>
    </row>
    <row r="875" ht="18.75">
      <c r="D875" s="90"/>
    </row>
    <row r="876" ht="18.75">
      <c r="D876" s="90"/>
    </row>
    <row r="877" ht="18.75">
      <c r="D877" s="90"/>
    </row>
    <row r="878" ht="18.75">
      <c r="D878" s="90"/>
    </row>
    <row r="879" ht="18.75">
      <c r="D879" s="90"/>
    </row>
    <row r="880" ht="18.75">
      <c r="D880" s="90"/>
    </row>
    <row r="881" ht="18.75">
      <c r="D881" s="90"/>
    </row>
    <row r="882" ht="18.75">
      <c r="D882" s="90"/>
    </row>
    <row r="883" ht="18.75">
      <c r="D883" s="90"/>
    </row>
    <row r="884" ht="18.75">
      <c r="D884" s="90"/>
    </row>
    <row r="885" ht="18.75">
      <c r="D885" s="90"/>
    </row>
    <row r="886" ht="18.75">
      <c r="D886" s="90"/>
    </row>
    <row r="887" ht="18.75">
      <c r="D887" s="90"/>
    </row>
    <row r="888" ht="18.75">
      <c r="D888" s="90"/>
    </row>
    <row r="889" ht="18.75">
      <c r="D889" s="90"/>
    </row>
    <row r="890" ht="18.75">
      <c r="D890" s="90"/>
    </row>
    <row r="891" ht="18.75">
      <c r="D891" s="90"/>
    </row>
    <row r="892" ht="18.75">
      <c r="D892" s="90"/>
    </row>
    <row r="893" ht="18.75">
      <c r="D893" s="90"/>
    </row>
    <row r="894" ht="18.75">
      <c r="D894" s="90"/>
    </row>
    <row r="895" ht="18.75">
      <c r="D895" s="90"/>
    </row>
    <row r="896" ht="18.75">
      <c r="D896" s="90"/>
    </row>
    <row r="897" ht="18.75">
      <c r="D897" s="90"/>
    </row>
    <row r="898" ht="18.75">
      <c r="D898" s="90"/>
    </row>
    <row r="899" ht="18.75">
      <c r="D899" s="90"/>
    </row>
    <row r="900" ht="18.75">
      <c r="D900" s="90"/>
    </row>
    <row r="901" ht="18.75">
      <c r="D901" s="90"/>
    </row>
    <row r="902" ht="18.75">
      <c r="D902" s="90"/>
    </row>
    <row r="903" ht="18.75">
      <c r="D903" s="90"/>
    </row>
    <row r="904" ht="18.75">
      <c r="D904" s="90"/>
    </row>
    <row r="905" ht="18.75">
      <c r="D905" s="90"/>
    </row>
    <row r="906" ht="18.75">
      <c r="D906" s="90"/>
    </row>
    <row r="907" ht="18.75">
      <c r="D907" s="90"/>
    </row>
    <row r="908" ht="18.75">
      <c r="D908" s="90"/>
    </row>
    <row r="909" ht="18.75">
      <c r="D909" s="90"/>
    </row>
    <row r="910" ht="18.75">
      <c r="D910" s="90"/>
    </row>
    <row r="911" ht="18.75">
      <c r="D911" s="90"/>
    </row>
    <row r="912" ht="18.75">
      <c r="D912" s="90"/>
    </row>
    <row r="913" ht="18.75">
      <c r="D913" s="90"/>
    </row>
    <row r="914" ht="18.75">
      <c r="D914" s="90"/>
    </row>
    <row r="915" ht="18.75">
      <c r="D915" s="90"/>
    </row>
    <row r="916" ht="18.75">
      <c r="D916" s="90"/>
    </row>
    <row r="917" ht="18.75">
      <c r="D917" s="90"/>
    </row>
    <row r="918" ht="18.75">
      <c r="D918" s="90"/>
    </row>
    <row r="919" ht="18.75">
      <c r="D919" s="90"/>
    </row>
    <row r="920" ht="18.75">
      <c r="D920" s="90"/>
    </row>
    <row r="921" ht="18.75">
      <c r="D921" s="90"/>
    </row>
    <row r="922" ht="18.75">
      <c r="D922" s="90"/>
    </row>
    <row r="923" ht="18.75">
      <c r="D923" s="90"/>
    </row>
    <row r="924" ht="18.75">
      <c r="D924" s="90"/>
    </row>
    <row r="925" ht="18.75">
      <c r="D925" s="90"/>
    </row>
    <row r="926" ht="18.75">
      <c r="D926" s="90"/>
    </row>
    <row r="927" ht="18.75">
      <c r="D927" s="90"/>
    </row>
    <row r="928" ht="18.75">
      <c r="D928" s="90"/>
    </row>
    <row r="929" ht="18.75">
      <c r="D929" s="90"/>
    </row>
    <row r="930" ht="18.75">
      <c r="D930" s="90"/>
    </row>
    <row r="931" ht="18.75">
      <c r="D931" s="90"/>
    </row>
    <row r="932" ht="18.75">
      <c r="D932" s="90"/>
    </row>
    <row r="933" ht="18.75">
      <c r="D933" s="90"/>
    </row>
    <row r="934" ht="18.75">
      <c r="D934" s="90"/>
    </row>
    <row r="935" ht="18.75">
      <c r="D935" s="90"/>
    </row>
    <row r="936" ht="18.75">
      <c r="D936" s="90"/>
    </row>
    <row r="937" ht="18.75">
      <c r="D937" s="90"/>
    </row>
    <row r="938" ht="18.75">
      <c r="D938" s="90"/>
    </row>
    <row r="939" ht="18.75">
      <c r="D939" s="90"/>
    </row>
    <row r="940" ht="18.75">
      <c r="D940" s="90"/>
    </row>
    <row r="941" ht="18.75">
      <c r="D941" s="90"/>
    </row>
    <row r="942" ht="18.75">
      <c r="D942" s="90"/>
    </row>
    <row r="943" ht="18.75">
      <c r="D943" s="90"/>
    </row>
    <row r="944" ht="18.75">
      <c r="D944" s="90"/>
    </row>
    <row r="945" ht="18.75">
      <c r="D945" s="90"/>
    </row>
    <row r="946" ht="18.75">
      <c r="D946" s="90"/>
    </row>
    <row r="947" ht="18.75">
      <c r="D947" s="90"/>
    </row>
    <row r="948" ht="18.75">
      <c r="D948" s="90"/>
    </row>
    <row r="949" ht="18.75">
      <c r="D949" s="90"/>
    </row>
    <row r="950" ht="18.75">
      <c r="D950" s="90"/>
    </row>
    <row r="951" ht="18.75">
      <c r="D951" s="90"/>
    </row>
    <row r="952" ht="18.75">
      <c r="D952" s="90"/>
    </row>
    <row r="953" ht="18.75">
      <c r="D953" s="90"/>
    </row>
    <row r="954" ht="18.75">
      <c r="D954" s="90"/>
    </row>
    <row r="955" ht="18.75">
      <c r="D955" s="90"/>
    </row>
    <row r="956" ht="18.75">
      <c r="D956" s="90"/>
    </row>
    <row r="957" ht="18.75">
      <c r="D957" s="90"/>
    </row>
    <row r="958" ht="18.75">
      <c r="D958" s="90"/>
    </row>
    <row r="959" ht="18.75">
      <c r="D959" s="90"/>
    </row>
    <row r="960" ht="18.75">
      <c r="D960" s="90"/>
    </row>
    <row r="961" ht="18.75">
      <c r="D961" s="90"/>
    </row>
    <row r="962" ht="18.75">
      <c r="D962" s="90"/>
    </row>
    <row r="963" ht="18.75">
      <c r="D963" s="90"/>
    </row>
    <row r="964" ht="18.75">
      <c r="D964" s="90"/>
    </row>
    <row r="965" ht="18.75">
      <c r="D965" s="90"/>
    </row>
    <row r="966" ht="18.75">
      <c r="D966" s="90"/>
    </row>
    <row r="967" ht="18.75">
      <c r="D967" s="90"/>
    </row>
    <row r="968" ht="18.75">
      <c r="D968" s="90"/>
    </row>
    <row r="969" ht="18.75">
      <c r="D969" s="90"/>
    </row>
    <row r="970" ht="18.75">
      <c r="D970" s="90"/>
    </row>
    <row r="971" ht="18.75">
      <c r="D971" s="90"/>
    </row>
    <row r="972" ht="18.75">
      <c r="D972" s="90"/>
    </row>
    <row r="973" ht="18.75">
      <c r="D973" s="90"/>
    </row>
    <row r="974" ht="18.75">
      <c r="D974" s="90"/>
    </row>
    <row r="975" ht="18.75">
      <c r="D975" s="90"/>
    </row>
    <row r="976" ht="18.75">
      <c r="D976" s="90"/>
    </row>
    <row r="977" ht="18.75">
      <c r="D977" s="90"/>
    </row>
    <row r="978" ht="18.75">
      <c r="D978" s="90"/>
    </row>
    <row r="979" ht="18.75">
      <c r="D979" s="90"/>
    </row>
    <row r="980" ht="18.75">
      <c r="D980" s="90"/>
    </row>
    <row r="981" ht="18.75">
      <c r="D981" s="90"/>
    </row>
    <row r="982" ht="18.75">
      <c r="D982" s="90"/>
    </row>
    <row r="983" ht="18.75">
      <c r="D983" s="90"/>
    </row>
    <row r="984" ht="18.75">
      <c r="D984" s="90"/>
    </row>
    <row r="985" ht="18.75">
      <c r="D985" s="90"/>
    </row>
    <row r="986" ht="18.75">
      <c r="D986" s="90"/>
    </row>
    <row r="987" ht="18.75">
      <c r="D987" s="90"/>
    </row>
    <row r="988" ht="18.75">
      <c r="D988" s="90"/>
    </row>
    <row r="989" ht="18.75">
      <c r="D989" s="90"/>
    </row>
    <row r="990" ht="18.75">
      <c r="D990" s="90"/>
    </row>
    <row r="991" ht="18.75">
      <c r="D991" s="90"/>
    </row>
    <row r="992" ht="18.75">
      <c r="D992" s="90"/>
    </row>
    <row r="993" ht="18.75">
      <c r="D993" s="90"/>
    </row>
    <row r="994" ht="18.75">
      <c r="D994" s="90"/>
    </row>
    <row r="995" ht="18.75">
      <c r="D995" s="90"/>
    </row>
    <row r="996" ht="18.75">
      <c r="D996" s="90"/>
    </row>
    <row r="997" ht="18.75">
      <c r="D997" s="90"/>
    </row>
    <row r="998" ht="18.75">
      <c r="D998" s="90"/>
    </row>
    <row r="999" ht="18.75">
      <c r="D999" s="90"/>
    </row>
    <row r="1000" ht="18.75">
      <c r="D1000" s="90"/>
    </row>
    <row r="1001" ht="18.75">
      <c r="D1001" s="90"/>
    </row>
    <row r="1002" ht="18.75">
      <c r="D1002" s="90"/>
    </row>
    <row r="1003" ht="18.75">
      <c r="D1003" s="90"/>
    </row>
    <row r="1004" ht="18.75">
      <c r="D1004" s="90"/>
    </row>
    <row r="1005" ht="18.75">
      <c r="D1005" s="90"/>
    </row>
    <row r="1006" ht="18.75">
      <c r="D1006" s="90"/>
    </row>
    <row r="1007" ht="18.75">
      <c r="D1007" s="90"/>
    </row>
    <row r="1008" ht="18.75">
      <c r="D1008" s="90"/>
    </row>
    <row r="1009" ht="18.75">
      <c r="D1009" s="90"/>
    </row>
    <row r="1010" ht="18.75">
      <c r="D1010" s="90"/>
    </row>
    <row r="1011" ht="18.75">
      <c r="D1011" s="90"/>
    </row>
    <row r="1012" ht="18.75">
      <c r="D1012" s="90"/>
    </row>
    <row r="1013" ht="18.75">
      <c r="D1013" s="90"/>
    </row>
    <row r="1014" ht="18.75">
      <c r="D1014" s="90"/>
    </row>
    <row r="1015" ht="18.75">
      <c r="D1015" s="90"/>
    </row>
    <row r="1016" ht="18.75">
      <c r="D1016" s="90"/>
    </row>
    <row r="1017" ht="18.75">
      <c r="D1017" s="90"/>
    </row>
    <row r="1018" ht="18.75">
      <c r="D1018" s="90"/>
    </row>
    <row r="1019" ht="18.75">
      <c r="D1019" s="90"/>
    </row>
    <row r="1020" ht="18.75">
      <c r="D1020" s="90"/>
    </row>
    <row r="1021" ht="18.75">
      <c r="D1021" s="90"/>
    </row>
    <row r="1022" ht="18.75">
      <c r="D1022" s="90"/>
    </row>
    <row r="1023" ht="18.75">
      <c r="D1023" s="90"/>
    </row>
    <row r="1024" ht="18.75">
      <c r="D1024" s="90"/>
    </row>
    <row r="1025" ht="18.75">
      <c r="D1025" s="90"/>
    </row>
    <row r="1026" ht="18.75">
      <c r="D1026" s="90"/>
    </row>
    <row r="1027" ht="18.75">
      <c r="D1027" s="90"/>
    </row>
    <row r="1028" ht="18.75">
      <c r="D1028" s="90"/>
    </row>
    <row r="1029" ht="18.75">
      <c r="D1029" s="90"/>
    </row>
    <row r="1030" ht="18.75">
      <c r="D1030" s="90"/>
    </row>
    <row r="1031" ht="18.75">
      <c r="D1031" s="90"/>
    </row>
    <row r="1032" ht="18.75">
      <c r="D1032" s="90"/>
    </row>
    <row r="1033" ht="18.75">
      <c r="D1033" s="90"/>
    </row>
    <row r="1034" ht="18.75">
      <c r="D1034" s="90"/>
    </row>
    <row r="1035" ht="18.75">
      <c r="D1035" s="90"/>
    </row>
    <row r="1036" ht="18.75">
      <c r="D1036" s="90"/>
    </row>
    <row r="1037" ht="18.75">
      <c r="D1037" s="90"/>
    </row>
    <row r="1038" ht="18.75">
      <c r="D1038" s="90"/>
    </row>
    <row r="1039" ht="18.75">
      <c r="D1039" s="90"/>
    </row>
    <row r="1040" ht="18.75">
      <c r="D1040" s="90"/>
    </row>
    <row r="1041" ht="18.75">
      <c r="D1041" s="90"/>
    </row>
    <row r="1042" ht="18.75">
      <c r="D1042" s="90"/>
    </row>
    <row r="1043" ht="18.75">
      <c r="D1043" s="90"/>
    </row>
    <row r="1044" ht="18.75">
      <c r="D1044" s="90"/>
    </row>
    <row r="1045" ht="18.75">
      <c r="D1045" s="90"/>
    </row>
    <row r="1046" ht="18.75">
      <c r="D1046" s="90"/>
    </row>
    <row r="1047" ht="18.75">
      <c r="D1047" s="90"/>
    </row>
    <row r="1048" ht="18.75">
      <c r="D1048" s="90"/>
    </row>
    <row r="1049" ht="18.75">
      <c r="D1049" s="90"/>
    </row>
    <row r="1050" ht="18.75">
      <c r="D1050" s="90"/>
    </row>
    <row r="1051" ht="18.75">
      <c r="D1051" s="90"/>
    </row>
    <row r="1052" ht="18.75">
      <c r="D1052" s="90"/>
    </row>
    <row r="1053" ht="18.75">
      <c r="D1053" s="90"/>
    </row>
    <row r="1054" ht="18.75">
      <c r="D1054" s="90"/>
    </row>
    <row r="1055" ht="18.75">
      <c r="D1055" s="90"/>
    </row>
    <row r="1056" ht="18.75">
      <c r="D1056" s="90"/>
    </row>
    <row r="1057" ht="18.75">
      <c r="D1057" s="90"/>
    </row>
    <row r="1058" ht="18.75">
      <c r="D1058" s="90"/>
    </row>
    <row r="1059" ht="18.75">
      <c r="D1059" s="90"/>
    </row>
    <row r="1060" ht="18.75">
      <c r="D1060" s="90"/>
    </row>
    <row r="1061" ht="18.75">
      <c r="D1061" s="90"/>
    </row>
    <row r="1062" ht="18.75">
      <c r="D1062" s="90"/>
    </row>
    <row r="1063" ht="18.75">
      <c r="D1063" s="90"/>
    </row>
    <row r="1064" ht="18.75">
      <c r="D1064" s="90"/>
    </row>
    <row r="1065" ht="18.75">
      <c r="D1065" s="90"/>
    </row>
    <row r="1066" ht="18.75">
      <c r="D1066" s="90"/>
    </row>
    <row r="1067" ht="18.75">
      <c r="D1067" s="90"/>
    </row>
    <row r="1068" ht="18.75">
      <c r="D1068" s="90"/>
    </row>
    <row r="1069" ht="18.75">
      <c r="D1069" s="90"/>
    </row>
    <row r="1070" ht="18.75">
      <c r="D1070" s="90"/>
    </row>
    <row r="1071" ht="18.75">
      <c r="D1071" s="90"/>
    </row>
    <row r="1072" ht="18.75">
      <c r="D1072" s="90"/>
    </row>
    <row r="1073" ht="18.75">
      <c r="D1073" s="90"/>
    </row>
    <row r="1074" ht="18.75">
      <c r="D1074" s="90"/>
    </row>
    <row r="1075" ht="18.75">
      <c r="D1075" s="90"/>
    </row>
    <row r="1076" ht="18.75">
      <c r="D1076" s="90"/>
    </row>
    <row r="1077" ht="18.75">
      <c r="D1077" s="90"/>
    </row>
    <row r="1078" ht="18.75">
      <c r="D1078" s="90"/>
    </row>
    <row r="1079" ht="18.75">
      <c r="D1079" s="90"/>
    </row>
    <row r="1080" ht="18.75">
      <c r="D1080" s="90"/>
    </row>
    <row r="1081" ht="18.75">
      <c r="D1081" s="90"/>
    </row>
    <row r="1082" ht="18.75">
      <c r="D1082" s="90"/>
    </row>
    <row r="1083" ht="18.75">
      <c r="D1083" s="90"/>
    </row>
    <row r="1084" ht="18.75">
      <c r="D1084" s="90"/>
    </row>
    <row r="1085" ht="18.75">
      <c r="D1085" s="90"/>
    </row>
    <row r="1086" ht="18.75">
      <c r="D1086" s="90"/>
    </row>
    <row r="1087" ht="18.75">
      <c r="D1087" s="90"/>
    </row>
    <row r="1088" ht="18.75">
      <c r="D1088" s="90"/>
    </row>
    <row r="1089" ht="18.75">
      <c r="D1089" s="90"/>
    </row>
    <row r="1090" ht="18.75">
      <c r="D1090" s="90"/>
    </row>
    <row r="1091" ht="18.75">
      <c r="D1091" s="90"/>
    </row>
    <row r="1092" ht="18.75">
      <c r="D1092" s="90"/>
    </row>
    <row r="1093" ht="18.75">
      <c r="D1093" s="90"/>
    </row>
    <row r="1094" ht="18.75">
      <c r="D1094" s="90"/>
    </row>
    <row r="1095" ht="18.75">
      <c r="D1095" s="90"/>
    </row>
    <row r="1096" ht="18.75">
      <c r="D1096" s="90"/>
    </row>
    <row r="1097" ht="18.75">
      <c r="D1097" s="90"/>
    </row>
    <row r="1098" ht="18.75">
      <c r="D1098" s="90"/>
    </row>
    <row r="1099" ht="18.75">
      <c r="D1099" s="90"/>
    </row>
    <row r="1100" ht="18.75">
      <c r="D1100" s="90"/>
    </row>
    <row r="1101" ht="18.75">
      <c r="D1101" s="90"/>
    </row>
    <row r="1102" ht="18.75">
      <c r="D1102" s="90"/>
    </row>
    <row r="1103" ht="18.75">
      <c r="D1103" s="90"/>
    </row>
    <row r="1104" ht="18.75">
      <c r="D1104" s="90"/>
    </row>
    <row r="1105" ht="18.75">
      <c r="D1105" s="90"/>
    </row>
    <row r="1106" ht="18.75">
      <c r="D1106" s="90"/>
    </row>
    <row r="1107" ht="18.75">
      <c r="D1107" s="90"/>
    </row>
    <row r="1108" ht="18.75">
      <c r="D1108" s="90"/>
    </row>
    <row r="1109" ht="18.75">
      <c r="D1109" s="90"/>
    </row>
    <row r="1110" ht="18.75">
      <c r="D1110" s="90"/>
    </row>
    <row r="1111" ht="18.75">
      <c r="D1111" s="90"/>
    </row>
    <row r="1112" ht="18.75">
      <c r="D1112" s="90"/>
    </row>
    <row r="1113" ht="18.75">
      <c r="D1113" s="90"/>
    </row>
    <row r="1114" ht="18.75">
      <c r="D1114" s="90"/>
    </row>
    <row r="1115" ht="18.75">
      <c r="D1115" s="90"/>
    </row>
    <row r="1116" ht="18.75">
      <c r="D1116" s="90"/>
    </row>
    <row r="1117" ht="18.75">
      <c r="D1117" s="90"/>
    </row>
    <row r="1118" ht="18.75">
      <c r="D1118" s="90"/>
    </row>
    <row r="1119" ht="18.75">
      <c r="D1119" s="90"/>
    </row>
    <row r="1120" ht="18.75">
      <c r="D1120" s="90"/>
    </row>
    <row r="1121" ht="18.75">
      <c r="D1121" s="90"/>
    </row>
    <row r="1122" ht="18.75">
      <c r="D1122" s="90"/>
    </row>
    <row r="1123" ht="18.75">
      <c r="D1123" s="90"/>
    </row>
    <row r="1124" ht="18.75">
      <c r="D1124" s="90"/>
    </row>
    <row r="1125" ht="18.75">
      <c r="D1125" s="90"/>
    </row>
    <row r="1126" ht="18.75">
      <c r="D1126" s="90"/>
    </row>
    <row r="1127" ht="18.75">
      <c r="D1127" s="90"/>
    </row>
    <row r="1128" ht="18.75">
      <c r="D1128" s="90"/>
    </row>
    <row r="1129" ht="18.75">
      <c r="D1129" s="90"/>
    </row>
    <row r="1130" ht="18.75">
      <c r="D1130" s="90"/>
    </row>
    <row r="1131" ht="18.75">
      <c r="D1131" s="90"/>
    </row>
    <row r="1132" ht="18.75">
      <c r="D1132" s="90"/>
    </row>
    <row r="1133" ht="18.75">
      <c r="D1133" s="90"/>
    </row>
    <row r="1134" ht="18.75">
      <c r="D1134" s="90"/>
    </row>
    <row r="1135" ht="18.75">
      <c r="D1135" s="90"/>
    </row>
    <row r="1136" ht="18.75">
      <c r="D1136" s="90"/>
    </row>
    <row r="1137" ht="18.75">
      <c r="D1137" s="90"/>
    </row>
    <row r="1138" ht="18.75">
      <c r="D1138" s="90"/>
    </row>
    <row r="1139" ht="18.75">
      <c r="D1139" s="90"/>
    </row>
    <row r="1140" ht="18.75">
      <c r="D1140" s="90"/>
    </row>
    <row r="1141" ht="18.75">
      <c r="D1141" s="90"/>
    </row>
    <row r="1142" ht="18.75">
      <c r="D1142" s="90"/>
    </row>
    <row r="1143" ht="18.75">
      <c r="D1143" s="90"/>
    </row>
    <row r="1144" ht="18.75">
      <c r="D1144" s="90"/>
    </row>
    <row r="1145" ht="18.75">
      <c r="D1145" s="90"/>
    </row>
    <row r="1146" ht="18.75">
      <c r="D1146" s="90"/>
    </row>
    <row r="1147" ht="18.75">
      <c r="D1147" s="90"/>
    </row>
    <row r="1148" ht="18.75">
      <c r="D1148" s="90"/>
    </row>
    <row r="1149" ht="18.75">
      <c r="D1149" s="90"/>
    </row>
    <row r="1150" ht="18.75">
      <c r="D1150" s="90"/>
    </row>
    <row r="1151" ht="18.75">
      <c r="D1151" s="90"/>
    </row>
    <row r="1152" ht="18.75">
      <c r="D1152" s="90"/>
    </row>
    <row r="1153" ht="18.75">
      <c r="D1153" s="90"/>
    </row>
    <row r="1154" ht="18.75">
      <c r="D1154" s="90"/>
    </row>
    <row r="1155" ht="18.75">
      <c r="D1155" s="90"/>
    </row>
    <row r="1156" ht="18.75">
      <c r="D1156" s="90"/>
    </row>
    <row r="1157" ht="18.75">
      <c r="D1157" s="90"/>
    </row>
    <row r="1158" ht="18.75">
      <c r="D1158" s="90"/>
    </row>
    <row r="1159" ht="18.75">
      <c r="D1159" s="90"/>
    </row>
    <row r="1160" ht="18.75">
      <c r="D1160" s="90"/>
    </row>
    <row r="1161" ht="18.75">
      <c r="D1161" s="90"/>
    </row>
    <row r="1162" ht="18.75">
      <c r="D1162" s="90"/>
    </row>
    <row r="1163" ht="18.75">
      <c r="D1163" s="90"/>
    </row>
    <row r="1164" ht="18.75">
      <c r="D1164" s="90"/>
    </row>
    <row r="1165" ht="18.75">
      <c r="D1165" s="90"/>
    </row>
    <row r="1166" ht="18.75">
      <c r="D1166" s="90"/>
    </row>
    <row r="1167" ht="18.75">
      <c r="D1167" s="90"/>
    </row>
    <row r="1168" ht="18.75">
      <c r="D1168" s="90"/>
    </row>
    <row r="1169" ht="18.75">
      <c r="D1169" s="90"/>
    </row>
    <row r="1170" ht="18.75">
      <c r="D1170" s="90"/>
    </row>
    <row r="1171" ht="18.75">
      <c r="D1171" s="90"/>
    </row>
    <row r="1172" ht="18.75">
      <c r="D1172" s="90"/>
    </row>
    <row r="1173" ht="18.75">
      <c r="D1173" s="90"/>
    </row>
    <row r="1174" ht="18.75">
      <c r="D1174" s="90"/>
    </row>
    <row r="1175" ht="18.75">
      <c r="D1175" s="90"/>
    </row>
    <row r="1176" ht="18.75">
      <c r="D1176" s="90"/>
    </row>
    <row r="1177" ht="18.75">
      <c r="D1177" s="90"/>
    </row>
    <row r="1178" ht="18.75">
      <c r="D1178" s="90"/>
    </row>
    <row r="1179" ht="18.75">
      <c r="D1179" s="90"/>
    </row>
    <row r="1180" ht="18.75">
      <c r="D1180" s="90"/>
    </row>
    <row r="1181" ht="18.75">
      <c r="D1181" s="90"/>
    </row>
    <row r="1182" ht="18.75">
      <c r="D1182" s="90"/>
    </row>
    <row r="1183" ht="18.75">
      <c r="D1183" s="90"/>
    </row>
    <row r="1184" ht="18.75">
      <c r="D1184" s="90"/>
    </row>
    <row r="1185" ht="18.75">
      <c r="D1185" s="90"/>
    </row>
    <row r="1186" ht="18.75">
      <c r="D1186" s="90"/>
    </row>
    <row r="1187" ht="18.75">
      <c r="D1187" s="90"/>
    </row>
    <row r="1188" ht="18.75">
      <c r="D1188" s="90"/>
    </row>
    <row r="1189" ht="18.75">
      <c r="D1189" s="90"/>
    </row>
    <row r="1190" ht="18.75">
      <c r="D1190" s="90"/>
    </row>
    <row r="1191" ht="18.75">
      <c r="D1191" s="90"/>
    </row>
    <row r="1192" ht="18.75">
      <c r="D1192" s="90"/>
    </row>
    <row r="1193" ht="18.75">
      <c r="D1193" s="90"/>
    </row>
    <row r="1194" ht="18.75">
      <c r="D1194" s="90"/>
    </row>
  </sheetData>
  <sheetProtection/>
  <mergeCells count="17">
    <mergeCell ref="K5:K6"/>
    <mergeCell ref="A1:J1"/>
    <mergeCell ref="D4:F4"/>
    <mergeCell ref="A5:A6"/>
    <mergeCell ref="B5:B6"/>
    <mergeCell ref="I5:I6"/>
    <mergeCell ref="J5:J6"/>
    <mergeCell ref="T5:T6"/>
    <mergeCell ref="C5:H5"/>
    <mergeCell ref="M5:M6"/>
    <mergeCell ref="N5:N6"/>
    <mergeCell ref="O5:O6"/>
    <mergeCell ref="Q5:Q6"/>
    <mergeCell ref="R5:R6"/>
    <mergeCell ref="L5:L6"/>
    <mergeCell ref="P5:P6"/>
    <mergeCell ref="S5:S6"/>
  </mergeCells>
  <printOptions/>
  <pageMargins left="0" right="0" top="0" bottom="0" header="0.31496062992125984" footer="0.31496062992125984"/>
  <pageSetup fitToHeight="3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T186"/>
  <sheetViews>
    <sheetView zoomScale="55" zoomScaleNormal="55" zoomScalePageLayoutView="0" workbookViewId="0" topLeftCell="A1">
      <selection activeCell="C168" sqref="C168"/>
    </sheetView>
  </sheetViews>
  <sheetFormatPr defaultColWidth="9.140625" defaultRowHeight="12.75"/>
  <cols>
    <col min="1" max="1" width="28.7109375" style="119" customWidth="1"/>
    <col min="2" max="2" width="81.7109375" style="120" customWidth="1"/>
    <col min="3" max="6" width="17.57421875" style="121" customWidth="1"/>
    <col min="7" max="15" width="17.57421875" style="121" hidden="1" customWidth="1"/>
    <col min="16" max="16" width="7.00390625" style="122" hidden="1" customWidth="1"/>
    <col min="17" max="19" width="15.7109375" style="122" hidden="1" customWidth="1"/>
    <col min="20" max="20" width="15.8515625" style="122" hidden="1" customWidth="1"/>
    <col min="21" max="16384" width="9.140625" style="122" customWidth="1"/>
  </cols>
  <sheetData>
    <row r="2" spans="1:15" s="60" customFormat="1" ht="45" customHeight="1">
      <c r="A2" s="189" t="s">
        <v>282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ht="19.5" thickBot="1"/>
    <row r="4" spans="1:15" ht="47.25" customHeight="1">
      <c r="A4" s="170" t="s">
        <v>190</v>
      </c>
      <c r="B4" s="170" t="s">
        <v>58</v>
      </c>
      <c r="C4" s="186" t="s">
        <v>283</v>
      </c>
      <c r="D4" s="187"/>
      <c r="E4" s="187"/>
      <c r="F4" s="188"/>
      <c r="G4" s="181" t="s">
        <v>225</v>
      </c>
      <c r="H4" s="183" t="s">
        <v>226</v>
      </c>
      <c r="I4" s="183" t="s">
        <v>227</v>
      </c>
      <c r="J4" s="181" t="s">
        <v>228</v>
      </c>
      <c r="K4" s="183" t="s">
        <v>229</v>
      </c>
      <c r="L4" s="183" t="s">
        <v>230</v>
      </c>
      <c r="M4" s="181" t="s">
        <v>231</v>
      </c>
      <c r="N4" s="183" t="s">
        <v>232</v>
      </c>
      <c r="O4" s="183" t="s">
        <v>233</v>
      </c>
    </row>
    <row r="5" spans="1:15" s="67" customFormat="1" ht="24.75" customHeight="1">
      <c r="A5" s="190"/>
      <c r="B5" s="190"/>
      <c r="C5" s="123" t="s">
        <v>218</v>
      </c>
      <c r="D5" s="123" t="s">
        <v>219</v>
      </c>
      <c r="E5" s="123" t="s">
        <v>220</v>
      </c>
      <c r="F5" s="123" t="s">
        <v>275</v>
      </c>
      <c r="G5" s="182"/>
      <c r="H5" s="183"/>
      <c r="I5" s="183"/>
      <c r="J5" s="182"/>
      <c r="K5" s="183"/>
      <c r="L5" s="183"/>
      <c r="M5" s="182"/>
      <c r="N5" s="183"/>
      <c r="O5" s="183"/>
    </row>
    <row r="6" spans="1:15" s="67" customFormat="1" ht="22.5" customHeight="1">
      <c r="A6" s="66">
        <v>1</v>
      </c>
      <c r="B6" s="66">
        <v>2</v>
      </c>
      <c r="C6" s="124">
        <v>3</v>
      </c>
      <c r="D6" s="124">
        <v>4</v>
      </c>
      <c r="E6" s="124">
        <v>5</v>
      </c>
      <c r="F6" s="124">
        <v>6</v>
      </c>
      <c r="G6" s="124">
        <v>7</v>
      </c>
      <c r="H6" s="124" t="s">
        <v>246</v>
      </c>
      <c r="I6" s="124" t="s">
        <v>237</v>
      </c>
      <c r="J6" s="124">
        <v>10</v>
      </c>
      <c r="K6" s="124" t="s">
        <v>247</v>
      </c>
      <c r="L6" s="124" t="s">
        <v>238</v>
      </c>
      <c r="M6" s="124">
        <v>13</v>
      </c>
      <c r="N6" s="124" t="s">
        <v>248</v>
      </c>
      <c r="O6" s="124" t="s">
        <v>239</v>
      </c>
    </row>
    <row r="7" spans="1:20" s="129" customFormat="1" ht="30" customHeight="1">
      <c r="A7" s="50" t="s">
        <v>59</v>
      </c>
      <c r="B7" s="51" t="s">
        <v>60</v>
      </c>
      <c r="C7" s="46">
        <f>C8+C9+C10+C11+C14+C18+C19+C20</f>
        <v>50609.5</v>
      </c>
      <c r="D7" s="46">
        <f>D8+D9+D10+D11+D14+D18+D19+D20</f>
        <v>56602.5</v>
      </c>
      <c r="E7" s="46">
        <f>E8+E9+E10+E11+E14+E18+E19+E20</f>
        <v>43610.45</v>
      </c>
      <c r="F7" s="46">
        <f>F8+F9+F10+F11+F14+F18+F19+F20</f>
        <v>38031.924849999996</v>
      </c>
      <c r="G7" s="125">
        <f aca="true" t="shared" si="0" ref="G7:G78">D7/R7</f>
        <v>0.08322766141777205</v>
      </c>
      <c r="H7" s="125">
        <f>D7/C7</f>
        <v>1.1184165028304962</v>
      </c>
      <c r="I7" s="46">
        <f>D7-C7</f>
        <v>5993</v>
      </c>
      <c r="J7" s="125">
        <f aca="true" t="shared" si="1" ref="J7:J78">E7/S7</f>
        <v>0.06973128867080519</v>
      </c>
      <c r="K7" s="125">
        <f>E7/D7</f>
        <v>0.770468618877258</v>
      </c>
      <c r="L7" s="46">
        <f>E7-D7</f>
        <v>-12992.050000000003</v>
      </c>
      <c r="M7" s="125">
        <f aca="true" t="shared" si="2" ref="M7:M78">F7/T7</f>
        <v>0.05918991710407093</v>
      </c>
      <c r="N7" s="125">
        <f>F7/E7</f>
        <v>0.8720828345041154</v>
      </c>
      <c r="O7" s="46">
        <f>F7-E7</f>
        <v>-5578.525150000001</v>
      </c>
      <c r="P7" s="126">
        <f>D7/615135*100</f>
        <v>9.201638664683362</v>
      </c>
      <c r="Q7" s="126">
        <f>D7/C7*100</f>
        <v>111.84165028304962</v>
      </c>
      <c r="R7" s="127">
        <v>680092.4</v>
      </c>
      <c r="S7" s="128">
        <v>625407.2</v>
      </c>
      <c r="T7" s="128">
        <v>642540.6</v>
      </c>
    </row>
    <row r="8" spans="1:20" s="132" customFormat="1" ht="50.25" customHeight="1">
      <c r="A8" s="95" t="s">
        <v>61</v>
      </c>
      <c r="B8" s="9" t="s">
        <v>249</v>
      </c>
      <c r="C8" s="97">
        <f>1560</f>
        <v>1560</v>
      </c>
      <c r="D8" s="130">
        <f>1900</f>
        <v>1900</v>
      </c>
      <c r="E8" s="130">
        <f>((1900/12)*9+((1900/12)*103.4%)*3)-160</f>
        <v>1756.15</v>
      </c>
      <c r="F8" s="130">
        <f>((1916.2/12)*9+((1916.2/12)*103.7%)*3)-300</f>
        <v>1633.92485</v>
      </c>
      <c r="G8" s="98">
        <f t="shared" si="0"/>
        <v>0.0027937380273621642</v>
      </c>
      <c r="H8" s="98">
        <f aca="true" t="shared" si="3" ref="H8:H81">D8/C8</f>
        <v>1.2179487179487178</v>
      </c>
      <c r="I8" s="49">
        <f aca="true" t="shared" si="4" ref="I8:I81">D8-C8</f>
        <v>340</v>
      </c>
      <c r="J8" s="98">
        <f t="shared" si="1"/>
        <v>0.0028080105249827635</v>
      </c>
      <c r="K8" s="98">
        <f aca="true" t="shared" si="5" ref="K8:K81">E8/D8</f>
        <v>0.9242894736842105</v>
      </c>
      <c r="L8" s="49">
        <f aca="true" t="shared" si="6" ref="L8:L81">E8-D8</f>
        <v>-143.8499999999999</v>
      </c>
      <c r="M8" s="98">
        <f t="shared" si="2"/>
        <v>0.0025429130081429875</v>
      </c>
      <c r="N8" s="98">
        <f aca="true" t="shared" si="7" ref="N8:N81">F8/E8</f>
        <v>0.9304016456453037</v>
      </c>
      <c r="O8" s="49">
        <f aca="true" t="shared" si="8" ref="O8:O81">F8-E8</f>
        <v>-122.22514999999999</v>
      </c>
      <c r="P8" s="131">
        <f aca="true" t="shared" si="9" ref="P8:P83">D8/615135*100</f>
        <v>0.3088752875385078</v>
      </c>
      <c r="R8" s="133">
        <v>680092.4</v>
      </c>
      <c r="S8" s="134">
        <v>625407.2</v>
      </c>
      <c r="T8" s="134">
        <v>642540.6</v>
      </c>
    </row>
    <row r="9" spans="1:20" ht="40.5" customHeight="1" hidden="1">
      <c r="A9" s="135" t="s">
        <v>62</v>
      </c>
      <c r="B9" s="48" t="s">
        <v>63</v>
      </c>
      <c r="C9" s="47">
        <f>0</f>
        <v>0</v>
      </c>
      <c r="D9" s="47">
        <f>0</f>
        <v>0</v>
      </c>
      <c r="E9" s="47">
        <f>0</f>
        <v>0</v>
      </c>
      <c r="F9" s="47">
        <f>0</f>
        <v>0</v>
      </c>
      <c r="G9" s="136">
        <f t="shared" si="0"/>
        <v>0</v>
      </c>
      <c r="H9" s="136" t="e">
        <f t="shared" si="3"/>
        <v>#DIV/0!</v>
      </c>
      <c r="I9" s="47">
        <f t="shared" si="4"/>
        <v>0</v>
      </c>
      <c r="J9" s="136">
        <f t="shared" si="1"/>
        <v>0</v>
      </c>
      <c r="K9" s="136" t="e">
        <f t="shared" si="5"/>
        <v>#DIV/0!</v>
      </c>
      <c r="L9" s="47">
        <f t="shared" si="6"/>
        <v>0</v>
      </c>
      <c r="M9" s="136">
        <f t="shared" si="2"/>
        <v>0</v>
      </c>
      <c r="N9" s="136" t="e">
        <f t="shared" si="7"/>
        <v>#DIV/0!</v>
      </c>
      <c r="O9" s="47">
        <f t="shared" si="8"/>
        <v>0</v>
      </c>
      <c r="P9" s="137">
        <f t="shared" si="9"/>
        <v>0</v>
      </c>
      <c r="R9" s="138">
        <v>680092.4</v>
      </c>
      <c r="S9" s="139">
        <v>625407.2</v>
      </c>
      <c r="T9" s="139">
        <v>642540.6</v>
      </c>
    </row>
    <row r="10" spans="1:20" ht="18.75" hidden="1">
      <c r="A10" s="135"/>
      <c r="B10" s="48"/>
      <c r="C10" s="47"/>
      <c r="D10" s="47"/>
      <c r="E10" s="47"/>
      <c r="F10" s="47"/>
      <c r="G10" s="136">
        <f t="shared" si="0"/>
        <v>0</v>
      </c>
      <c r="H10" s="136" t="e">
        <f t="shared" si="3"/>
        <v>#DIV/0!</v>
      </c>
      <c r="I10" s="47">
        <f t="shared" si="4"/>
        <v>0</v>
      </c>
      <c r="J10" s="136">
        <f t="shared" si="1"/>
        <v>0</v>
      </c>
      <c r="K10" s="136" t="e">
        <f t="shared" si="5"/>
        <v>#DIV/0!</v>
      </c>
      <c r="L10" s="47">
        <f t="shared" si="6"/>
        <v>0</v>
      </c>
      <c r="M10" s="136">
        <f t="shared" si="2"/>
        <v>0</v>
      </c>
      <c r="N10" s="136" t="e">
        <f t="shared" si="7"/>
        <v>#DIV/0!</v>
      </c>
      <c r="O10" s="47">
        <f t="shared" si="8"/>
        <v>0</v>
      </c>
      <c r="P10" s="137">
        <f t="shared" si="9"/>
        <v>0</v>
      </c>
      <c r="R10" s="138">
        <v>680092.4</v>
      </c>
      <c r="S10" s="139">
        <v>625407.2</v>
      </c>
      <c r="T10" s="139">
        <v>642540.6</v>
      </c>
    </row>
    <row r="11" spans="1:20" s="132" customFormat="1" ht="40.5" customHeight="1">
      <c r="A11" s="95" t="s">
        <v>64</v>
      </c>
      <c r="B11" s="9" t="s">
        <v>250</v>
      </c>
      <c r="C11" s="49">
        <v>24456.5</v>
      </c>
      <c r="D11" s="49">
        <v>21568.4</v>
      </c>
      <c r="E11" s="49">
        <v>19631.6</v>
      </c>
      <c r="F11" s="49">
        <v>16786.2</v>
      </c>
      <c r="G11" s="98">
        <f t="shared" si="0"/>
        <v>0.03171392593124111</v>
      </c>
      <c r="H11" s="98">
        <f t="shared" si="3"/>
        <v>0.8819086950299512</v>
      </c>
      <c r="I11" s="49">
        <f t="shared" si="4"/>
        <v>-2888.0999999999985</v>
      </c>
      <c r="J11" s="98">
        <f t="shared" si="1"/>
        <v>0.03139010871636911</v>
      </c>
      <c r="K11" s="98">
        <f t="shared" si="5"/>
        <v>0.9102019621297823</v>
      </c>
      <c r="L11" s="49">
        <f t="shared" si="6"/>
        <v>-1936.800000000003</v>
      </c>
      <c r="M11" s="98">
        <f t="shared" si="2"/>
        <v>0.02612473048395697</v>
      </c>
      <c r="N11" s="98">
        <f t="shared" si="7"/>
        <v>0.8550602090507142</v>
      </c>
      <c r="O11" s="49">
        <f t="shared" si="8"/>
        <v>-2845.399999999998</v>
      </c>
      <c r="P11" s="131">
        <f t="shared" si="9"/>
        <v>3.5062872377608167</v>
      </c>
      <c r="R11" s="133">
        <v>680092.4</v>
      </c>
      <c r="S11" s="134">
        <v>625407.2</v>
      </c>
      <c r="T11" s="134">
        <v>642540.6</v>
      </c>
    </row>
    <row r="12" spans="1:20" ht="18.75" hidden="1">
      <c r="A12" s="135"/>
      <c r="B12" s="48" t="s">
        <v>65</v>
      </c>
      <c r="C12" s="47"/>
      <c r="D12" s="47"/>
      <c r="E12" s="47"/>
      <c r="F12" s="47"/>
      <c r="G12" s="136">
        <f t="shared" si="0"/>
        <v>0</v>
      </c>
      <c r="H12" s="136" t="e">
        <f t="shared" si="3"/>
        <v>#DIV/0!</v>
      </c>
      <c r="I12" s="47">
        <f t="shared" si="4"/>
        <v>0</v>
      </c>
      <c r="J12" s="136">
        <f t="shared" si="1"/>
        <v>0</v>
      </c>
      <c r="K12" s="136" t="e">
        <f t="shared" si="5"/>
        <v>#DIV/0!</v>
      </c>
      <c r="L12" s="47">
        <f t="shared" si="6"/>
        <v>0</v>
      </c>
      <c r="M12" s="136">
        <f t="shared" si="2"/>
        <v>0</v>
      </c>
      <c r="N12" s="136" t="e">
        <f t="shared" si="7"/>
        <v>#DIV/0!</v>
      </c>
      <c r="O12" s="47">
        <f t="shared" si="8"/>
        <v>0</v>
      </c>
      <c r="P12" s="137">
        <f t="shared" si="9"/>
        <v>0</v>
      </c>
      <c r="R12" s="138">
        <v>680092.4</v>
      </c>
      <c r="S12" s="139">
        <v>625407.2</v>
      </c>
      <c r="T12" s="139">
        <v>642540.6</v>
      </c>
    </row>
    <row r="13" spans="1:20" ht="40.5" customHeight="1" hidden="1">
      <c r="A13" s="135"/>
      <c r="B13" s="48" t="s">
        <v>66</v>
      </c>
      <c r="C13" s="47">
        <f>0</f>
        <v>0</v>
      </c>
      <c r="D13" s="47">
        <f>0</f>
        <v>0</v>
      </c>
      <c r="E13" s="47">
        <f>0</f>
        <v>0</v>
      </c>
      <c r="F13" s="47">
        <f>0</f>
        <v>0</v>
      </c>
      <c r="G13" s="136">
        <f t="shared" si="0"/>
        <v>0</v>
      </c>
      <c r="H13" s="136" t="e">
        <f t="shared" si="3"/>
        <v>#DIV/0!</v>
      </c>
      <c r="I13" s="47">
        <f t="shared" si="4"/>
        <v>0</v>
      </c>
      <c r="J13" s="136">
        <f t="shared" si="1"/>
        <v>0</v>
      </c>
      <c r="K13" s="136" t="e">
        <f t="shared" si="5"/>
        <v>#DIV/0!</v>
      </c>
      <c r="L13" s="47">
        <f t="shared" si="6"/>
        <v>0</v>
      </c>
      <c r="M13" s="136">
        <f t="shared" si="2"/>
        <v>0</v>
      </c>
      <c r="N13" s="136" t="e">
        <f t="shared" si="7"/>
        <v>#DIV/0!</v>
      </c>
      <c r="O13" s="47">
        <f t="shared" si="8"/>
        <v>0</v>
      </c>
      <c r="P13" s="137">
        <f t="shared" si="9"/>
        <v>0</v>
      </c>
      <c r="R13" s="138">
        <v>680092.4</v>
      </c>
      <c r="S13" s="139">
        <v>625407.2</v>
      </c>
      <c r="T13" s="139">
        <v>642540.6</v>
      </c>
    </row>
    <row r="14" spans="1:20" s="132" customFormat="1" ht="40.5" customHeight="1">
      <c r="A14" s="95" t="s">
        <v>67</v>
      </c>
      <c r="B14" s="9" t="s">
        <v>251</v>
      </c>
      <c r="C14" s="49">
        <f>C15+C16+C17</f>
        <v>7485.2</v>
      </c>
      <c r="D14" s="49">
        <f>D15+D16+D17</f>
        <v>9102.4</v>
      </c>
      <c r="E14" s="49">
        <f>E15+E16+E17</f>
        <v>8712.5</v>
      </c>
      <c r="F14" s="49">
        <f>F15+F16+F17</f>
        <v>8109</v>
      </c>
      <c r="G14" s="98">
        <f t="shared" si="0"/>
        <v>0.013384063694874401</v>
      </c>
      <c r="H14" s="98">
        <f t="shared" si="3"/>
        <v>1.2160530112755839</v>
      </c>
      <c r="I14" s="49">
        <f t="shared" si="4"/>
        <v>1617.1999999999998</v>
      </c>
      <c r="J14" s="98">
        <f t="shared" si="1"/>
        <v>0.013930923724574966</v>
      </c>
      <c r="K14" s="98">
        <f t="shared" si="5"/>
        <v>0.9571651432589208</v>
      </c>
      <c r="L14" s="49">
        <f t="shared" si="6"/>
        <v>-389.89999999999964</v>
      </c>
      <c r="M14" s="98">
        <f t="shared" si="2"/>
        <v>0.012620214193468865</v>
      </c>
      <c r="N14" s="98">
        <f t="shared" si="7"/>
        <v>0.9307317073170732</v>
      </c>
      <c r="O14" s="49">
        <f t="shared" si="8"/>
        <v>-603.5</v>
      </c>
      <c r="P14" s="131">
        <f t="shared" si="9"/>
        <v>1.4797402196265859</v>
      </c>
      <c r="R14" s="133">
        <v>680092.4</v>
      </c>
      <c r="S14" s="134">
        <v>625407.2</v>
      </c>
      <c r="T14" s="134">
        <v>642540.6</v>
      </c>
    </row>
    <row r="15" spans="1:20" ht="39" customHeight="1">
      <c r="A15" s="135"/>
      <c r="B15" s="48" t="s">
        <v>68</v>
      </c>
      <c r="C15" s="47">
        <f>7078-191</f>
        <v>6887</v>
      </c>
      <c r="D15" s="47">
        <f>8497.6-191</f>
        <v>8306.6</v>
      </c>
      <c r="E15" s="47">
        <f>8142.7-191</f>
        <v>7951.7</v>
      </c>
      <c r="F15" s="47">
        <f>7558.7-191</f>
        <v>7367.7</v>
      </c>
      <c r="G15" s="136">
        <f t="shared" si="0"/>
        <v>0.012213928577940292</v>
      </c>
      <c r="H15" s="136">
        <f t="shared" si="3"/>
        <v>1.206127486568898</v>
      </c>
      <c r="I15" s="47">
        <f t="shared" si="4"/>
        <v>1419.6000000000004</v>
      </c>
      <c r="J15" s="136">
        <f t="shared" si="1"/>
        <v>0.012714436290468034</v>
      </c>
      <c r="K15" s="136">
        <f t="shared" si="5"/>
        <v>0.9572749380011075</v>
      </c>
      <c r="L15" s="47">
        <f t="shared" si="6"/>
        <v>-354.90000000000055</v>
      </c>
      <c r="M15" s="136">
        <f t="shared" si="2"/>
        <v>0.011466512777558337</v>
      </c>
      <c r="N15" s="136">
        <f t="shared" si="7"/>
        <v>0.9265565853842574</v>
      </c>
      <c r="O15" s="47">
        <f t="shared" si="8"/>
        <v>-584</v>
      </c>
      <c r="P15" s="137">
        <f t="shared" si="9"/>
        <v>1.3503702439301943</v>
      </c>
      <c r="R15" s="138">
        <v>680092.4</v>
      </c>
      <c r="S15" s="139">
        <v>625407.2</v>
      </c>
      <c r="T15" s="139">
        <v>642540.6</v>
      </c>
    </row>
    <row r="16" spans="1:20" ht="18.75">
      <c r="A16" s="135"/>
      <c r="B16" s="48" t="s">
        <v>69</v>
      </c>
      <c r="C16" s="47">
        <v>191</v>
      </c>
      <c r="D16" s="47">
        <v>191</v>
      </c>
      <c r="E16" s="47">
        <v>191</v>
      </c>
      <c r="F16" s="47">
        <v>191</v>
      </c>
      <c r="G16" s="136">
        <f t="shared" si="0"/>
        <v>0.0002808441911716702</v>
      </c>
      <c r="H16" s="136">
        <f t="shared" si="3"/>
        <v>1</v>
      </c>
      <c r="I16" s="47">
        <f t="shared" si="4"/>
        <v>0</v>
      </c>
      <c r="J16" s="136">
        <f t="shared" si="1"/>
        <v>0.00030540102512411114</v>
      </c>
      <c r="K16" s="136">
        <f t="shared" si="5"/>
        <v>1</v>
      </c>
      <c r="L16" s="47">
        <f t="shared" si="6"/>
        <v>0</v>
      </c>
      <c r="M16" s="136">
        <f t="shared" si="2"/>
        <v>0.00029725748069460515</v>
      </c>
      <c r="N16" s="136">
        <f t="shared" si="7"/>
        <v>1</v>
      </c>
      <c r="O16" s="47">
        <f t="shared" si="8"/>
        <v>0</v>
      </c>
      <c r="P16" s="137">
        <f t="shared" si="9"/>
        <v>0.031050094694660524</v>
      </c>
      <c r="R16" s="138">
        <v>680092.4</v>
      </c>
      <c r="S16" s="139">
        <v>625407.2</v>
      </c>
      <c r="T16" s="139">
        <v>642540.6</v>
      </c>
    </row>
    <row r="17" spans="1:20" ht="48.75" customHeight="1">
      <c r="A17" s="135"/>
      <c r="B17" s="48" t="s">
        <v>252</v>
      </c>
      <c r="C17" s="47">
        <v>407.2</v>
      </c>
      <c r="D17" s="47">
        <v>604.8</v>
      </c>
      <c r="E17" s="47">
        <v>569.8</v>
      </c>
      <c r="F17" s="47">
        <v>550.3</v>
      </c>
      <c r="G17" s="136">
        <f t="shared" si="0"/>
        <v>0.0008892909257624404</v>
      </c>
      <c r="H17" s="136">
        <f t="shared" si="3"/>
        <v>1.4852652259332022</v>
      </c>
      <c r="I17" s="47">
        <f t="shared" si="4"/>
        <v>197.59999999999997</v>
      </c>
      <c r="J17" s="136">
        <f t="shared" si="1"/>
        <v>0.0009110864089828195</v>
      </c>
      <c r="K17" s="136">
        <f t="shared" si="5"/>
        <v>0.9421296296296297</v>
      </c>
      <c r="L17" s="47">
        <f t="shared" si="6"/>
        <v>-35</v>
      </c>
      <c r="M17" s="136">
        <f t="shared" si="2"/>
        <v>0.0008564439352159225</v>
      </c>
      <c r="N17" s="136">
        <f t="shared" si="7"/>
        <v>0.9657774657774658</v>
      </c>
      <c r="O17" s="47">
        <f t="shared" si="8"/>
        <v>-19.5</v>
      </c>
      <c r="P17" s="137">
        <f t="shared" si="9"/>
        <v>0.09831988100173132</v>
      </c>
      <c r="R17" s="138">
        <v>680092.4</v>
      </c>
      <c r="S17" s="139">
        <v>625407.2</v>
      </c>
      <c r="T17" s="139">
        <v>642540.6</v>
      </c>
    </row>
    <row r="18" spans="1:20" ht="40.5" customHeight="1" hidden="1">
      <c r="A18" s="135" t="s">
        <v>70</v>
      </c>
      <c r="B18" s="48" t="s">
        <v>71</v>
      </c>
      <c r="C18" s="47">
        <v>0</v>
      </c>
      <c r="D18" s="47">
        <v>0</v>
      </c>
      <c r="E18" s="47">
        <v>0</v>
      </c>
      <c r="F18" s="47">
        <v>0</v>
      </c>
      <c r="G18" s="136">
        <f t="shared" si="0"/>
        <v>0</v>
      </c>
      <c r="H18" s="136" t="e">
        <f t="shared" si="3"/>
        <v>#DIV/0!</v>
      </c>
      <c r="I18" s="47">
        <f t="shared" si="4"/>
        <v>0</v>
      </c>
      <c r="J18" s="136">
        <f t="shared" si="1"/>
        <v>0</v>
      </c>
      <c r="K18" s="136" t="e">
        <f t="shared" si="5"/>
        <v>#DIV/0!</v>
      </c>
      <c r="L18" s="47">
        <f t="shared" si="6"/>
        <v>0</v>
      </c>
      <c r="M18" s="136">
        <f t="shared" si="2"/>
        <v>0</v>
      </c>
      <c r="N18" s="136" t="e">
        <f t="shared" si="7"/>
        <v>#DIV/0!</v>
      </c>
      <c r="O18" s="47">
        <f t="shared" si="8"/>
        <v>0</v>
      </c>
      <c r="P18" s="137">
        <f t="shared" si="9"/>
        <v>0</v>
      </c>
      <c r="R18" s="138">
        <v>680092.4</v>
      </c>
      <c r="S18" s="139">
        <v>625407.2</v>
      </c>
      <c r="T18" s="139">
        <v>642540.6</v>
      </c>
    </row>
    <row r="19" spans="1:20" s="132" customFormat="1" ht="30" customHeight="1">
      <c r="A19" s="95" t="s">
        <v>72</v>
      </c>
      <c r="B19" s="9" t="s">
        <v>73</v>
      </c>
      <c r="C19" s="49">
        <f>500</f>
        <v>500</v>
      </c>
      <c r="D19" s="49">
        <v>3500</v>
      </c>
      <c r="E19" s="49">
        <f>500</f>
        <v>500</v>
      </c>
      <c r="F19" s="49">
        <v>100</v>
      </c>
      <c r="G19" s="98">
        <f t="shared" si="0"/>
        <v>0.005146359524088197</v>
      </c>
      <c r="H19" s="98">
        <f t="shared" si="3"/>
        <v>7</v>
      </c>
      <c r="I19" s="49">
        <f t="shared" si="4"/>
        <v>3000</v>
      </c>
      <c r="J19" s="98">
        <f t="shared" si="1"/>
        <v>0.0007994791233615475</v>
      </c>
      <c r="K19" s="98">
        <f t="shared" si="5"/>
        <v>0.14285714285714285</v>
      </c>
      <c r="L19" s="49">
        <f t="shared" si="6"/>
        <v>-3000</v>
      </c>
      <c r="M19" s="98">
        <f t="shared" si="2"/>
        <v>0.000155632188845343</v>
      </c>
      <c r="N19" s="98">
        <f t="shared" si="7"/>
        <v>0.2</v>
      </c>
      <c r="O19" s="49">
        <f t="shared" si="8"/>
        <v>-400</v>
      </c>
      <c r="P19" s="131">
        <f t="shared" si="9"/>
        <v>0.5689807928340933</v>
      </c>
      <c r="R19" s="133">
        <v>680092.4</v>
      </c>
      <c r="S19" s="134">
        <v>625407.2</v>
      </c>
      <c r="T19" s="134">
        <v>642540.6</v>
      </c>
    </row>
    <row r="20" spans="1:20" s="132" customFormat="1" ht="33.75" customHeight="1">
      <c r="A20" s="95" t="s">
        <v>74</v>
      </c>
      <c r="B20" s="9" t="s">
        <v>284</v>
      </c>
      <c r="C20" s="49">
        <f>C23++C25+C26+C28+C29+C30+C31+C33+C34</f>
        <v>16607.8</v>
      </c>
      <c r="D20" s="49">
        <f>D23+D25+D26+D28+D29+D30+D31+D33+D34</f>
        <v>20531.7</v>
      </c>
      <c r="E20" s="140">
        <f>E23+E25+E26+E28+E29+E30+E31+E33+E34</f>
        <v>13010.199999999999</v>
      </c>
      <c r="F20" s="49">
        <f>F23++F25+F26+F28+F29+F30+F31+F33+F34</f>
        <v>11402.8</v>
      </c>
      <c r="G20" s="98">
        <f t="shared" si="0"/>
        <v>0.030189574240206185</v>
      </c>
      <c r="H20" s="98">
        <f t="shared" si="3"/>
        <v>1.2362685003432123</v>
      </c>
      <c r="I20" s="49">
        <f t="shared" si="4"/>
        <v>3923.9000000000015</v>
      </c>
      <c r="J20" s="98">
        <f t="shared" si="1"/>
        <v>0.02080276658151681</v>
      </c>
      <c r="K20" s="98">
        <f t="shared" si="5"/>
        <v>0.6336640414578432</v>
      </c>
      <c r="L20" s="49">
        <f t="shared" si="6"/>
        <v>-7521.500000000002</v>
      </c>
      <c r="M20" s="98">
        <f t="shared" si="2"/>
        <v>0.01774642722965677</v>
      </c>
      <c r="N20" s="98">
        <f t="shared" si="7"/>
        <v>0.8764507847688737</v>
      </c>
      <c r="O20" s="49">
        <f t="shared" si="8"/>
        <v>-1607.3999999999996</v>
      </c>
      <c r="P20" s="131">
        <f t="shared" si="9"/>
        <v>3.3377551269233585</v>
      </c>
      <c r="R20" s="133">
        <v>680092.4</v>
      </c>
      <c r="S20" s="134">
        <v>625407.2</v>
      </c>
      <c r="T20" s="134">
        <v>642540.6</v>
      </c>
    </row>
    <row r="21" spans="1:20" ht="40.5" customHeight="1" hidden="1">
      <c r="A21" s="6"/>
      <c r="B21" s="7" t="s">
        <v>234</v>
      </c>
      <c r="C21" s="10">
        <v>0</v>
      </c>
      <c r="D21" s="10"/>
      <c r="E21" s="10"/>
      <c r="F21" s="10"/>
      <c r="G21" s="141" t="e">
        <f t="shared" si="0"/>
        <v>#DIV/0!</v>
      </c>
      <c r="H21" s="141" t="e">
        <f t="shared" si="3"/>
        <v>#DIV/0!</v>
      </c>
      <c r="I21" s="10">
        <f t="shared" si="4"/>
        <v>0</v>
      </c>
      <c r="J21" s="141" t="e">
        <f t="shared" si="1"/>
        <v>#DIV/0!</v>
      </c>
      <c r="K21" s="141" t="e">
        <f t="shared" si="5"/>
        <v>#DIV/0!</v>
      </c>
      <c r="L21" s="10">
        <f t="shared" si="6"/>
        <v>0</v>
      </c>
      <c r="M21" s="141" t="e">
        <f t="shared" si="2"/>
        <v>#DIV/0!</v>
      </c>
      <c r="N21" s="141" t="e">
        <f t="shared" si="7"/>
        <v>#DIV/0!</v>
      </c>
      <c r="O21" s="10">
        <f t="shared" si="8"/>
        <v>0</v>
      </c>
      <c r="P21" s="142"/>
      <c r="R21" s="138"/>
      <c r="S21" s="139"/>
      <c r="T21" s="139"/>
    </row>
    <row r="22" spans="1:20" ht="40.5" customHeight="1" hidden="1">
      <c r="A22" s="6"/>
      <c r="B22" s="7" t="s">
        <v>235</v>
      </c>
      <c r="C22" s="10">
        <v>0</v>
      </c>
      <c r="D22" s="10"/>
      <c r="E22" s="10"/>
      <c r="F22" s="10"/>
      <c r="G22" s="141" t="e">
        <f t="shared" si="0"/>
        <v>#DIV/0!</v>
      </c>
      <c r="H22" s="141" t="e">
        <f t="shared" si="3"/>
        <v>#DIV/0!</v>
      </c>
      <c r="I22" s="10">
        <f t="shared" si="4"/>
        <v>0</v>
      </c>
      <c r="J22" s="141" t="e">
        <f t="shared" si="1"/>
        <v>#DIV/0!</v>
      </c>
      <c r="K22" s="141" t="e">
        <f t="shared" si="5"/>
        <v>#DIV/0!</v>
      </c>
      <c r="L22" s="10">
        <f t="shared" si="6"/>
        <v>0</v>
      </c>
      <c r="M22" s="141" t="e">
        <f t="shared" si="2"/>
        <v>#DIV/0!</v>
      </c>
      <c r="N22" s="141" t="e">
        <f t="shared" si="7"/>
        <v>#DIV/0!</v>
      </c>
      <c r="O22" s="10">
        <f t="shared" si="8"/>
        <v>0</v>
      </c>
      <c r="P22" s="142"/>
      <c r="R22" s="138"/>
      <c r="S22" s="139"/>
      <c r="T22" s="139"/>
    </row>
    <row r="23" spans="1:20" ht="65.25" customHeight="1">
      <c r="A23" s="135"/>
      <c r="B23" s="48" t="s">
        <v>253</v>
      </c>
      <c r="C23" s="47">
        <v>6717</v>
      </c>
      <c r="D23" s="47">
        <v>6357.5</v>
      </c>
      <c r="E23" s="47">
        <v>5685</v>
      </c>
      <c r="F23" s="47">
        <v>5022.9</v>
      </c>
      <c r="G23" s="136">
        <f t="shared" si="0"/>
        <v>0.009347994478397346</v>
      </c>
      <c r="H23" s="136">
        <f t="shared" si="3"/>
        <v>0.9464790829239244</v>
      </c>
      <c r="I23" s="47">
        <f t="shared" si="4"/>
        <v>-359.5</v>
      </c>
      <c r="J23" s="136">
        <f t="shared" si="1"/>
        <v>0.009090077632620796</v>
      </c>
      <c r="K23" s="136">
        <f t="shared" si="5"/>
        <v>0.8942194258749508</v>
      </c>
      <c r="L23" s="47">
        <f t="shared" si="6"/>
        <v>-672.5</v>
      </c>
      <c r="M23" s="136">
        <f t="shared" si="2"/>
        <v>0.007817249213512734</v>
      </c>
      <c r="N23" s="136">
        <f t="shared" si="7"/>
        <v>0.8835356200527704</v>
      </c>
      <c r="O23" s="47">
        <f t="shared" si="8"/>
        <v>-662.1000000000004</v>
      </c>
      <c r="P23" s="137">
        <f t="shared" si="9"/>
        <v>1.033512968697928</v>
      </c>
      <c r="R23" s="138">
        <v>680092.4</v>
      </c>
      <c r="S23" s="139">
        <v>625407.2</v>
      </c>
      <c r="T23" s="139">
        <v>642540.6</v>
      </c>
    </row>
    <row r="24" spans="1:20" s="61" customFormat="1" ht="27.75" customHeight="1">
      <c r="A24" s="94"/>
      <c r="B24" s="143" t="s">
        <v>75</v>
      </c>
      <c r="C24" s="20">
        <f>12</f>
        <v>12</v>
      </c>
      <c r="D24" s="20">
        <v>23</v>
      </c>
      <c r="E24" s="20">
        <v>23</v>
      </c>
      <c r="F24" s="20">
        <v>23</v>
      </c>
      <c r="G24" s="144">
        <f t="shared" si="0"/>
        <v>3.3818934015436724E-05</v>
      </c>
      <c r="H24" s="144">
        <f t="shared" si="3"/>
        <v>1.9166666666666667</v>
      </c>
      <c r="I24" s="20">
        <f t="shared" si="4"/>
        <v>11</v>
      </c>
      <c r="J24" s="144">
        <f t="shared" si="1"/>
        <v>3.677603967463119E-05</v>
      </c>
      <c r="K24" s="144">
        <f t="shared" si="5"/>
        <v>1</v>
      </c>
      <c r="L24" s="20">
        <f t="shared" si="6"/>
        <v>0</v>
      </c>
      <c r="M24" s="144">
        <f t="shared" si="2"/>
        <v>3.5795403434428895E-05</v>
      </c>
      <c r="N24" s="144">
        <f t="shared" si="7"/>
        <v>1</v>
      </c>
      <c r="O24" s="20">
        <f t="shared" si="8"/>
        <v>0</v>
      </c>
      <c r="P24" s="145">
        <f t="shared" si="9"/>
        <v>0.0037390166386240416</v>
      </c>
      <c r="R24" s="146">
        <v>680092.4</v>
      </c>
      <c r="S24" s="147">
        <v>625407.2</v>
      </c>
      <c r="T24" s="147">
        <v>642540.6</v>
      </c>
    </row>
    <row r="25" spans="1:20" ht="40.5" customHeight="1" hidden="1">
      <c r="A25" s="135"/>
      <c r="B25" s="48" t="s">
        <v>76</v>
      </c>
      <c r="C25" s="47">
        <v>0</v>
      </c>
      <c r="D25" s="47">
        <v>0</v>
      </c>
      <c r="E25" s="47">
        <v>0</v>
      </c>
      <c r="F25" s="47">
        <v>0</v>
      </c>
      <c r="G25" s="136">
        <f t="shared" si="0"/>
        <v>0</v>
      </c>
      <c r="H25" s="136" t="e">
        <f t="shared" si="3"/>
        <v>#DIV/0!</v>
      </c>
      <c r="I25" s="47">
        <f t="shared" si="4"/>
        <v>0</v>
      </c>
      <c r="J25" s="136">
        <f t="shared" si="1"/>
        <v>0</v>
      </c>
      <c r="K25" s="136" t="e">
        <f t="shared" si="5"/>
        <v>#DIV/0!</v>
      </c>
      <c r="L25" s="47">
        <f t="shared" si="6"/>
        <v>0</v>
      </c>
      <c r="M25" s="136">
        <f t="shared" si="2"/>
        <v>0</v>
      </c>
      <c r="N25" s="136" t="e">
        <f t="shared" si="7"/>
        <v>#DIV/0!</v>
      </c>
      <c r="O25" s="47">
        <f t="shared" si="8"/>
        <v>0</v>
      </c>
      <c r="P25" s="137">
        <f t="shared" si="9"/>
        <v>0</v>
      </c>
      <c r="R25" s="138">
        <v>680092.4</v>
      </c>
      <c r="S25" s="139">
        <v>625407.2</v>
      </c>
      <c r="T25" s="139">
        <v>642540.6</v>
      </c>
    </row>
    <row r="26" spans="1:20" ht="51" customHeight="1">
      <c r="A26" s="135"/>
      <c r="B26" s="48" t="s">
        <v>254</v>
      </c>
      <c r="C26" s="47">
        <v>3374</v>
      </c>
      <c r="D26" s="47">
        <v>3325.5</v>
      </c>
      <c r="E26" s="47">
        <v>3061</v>
      </c>
      <c r="F26" s="47">
        <v>2705</v>
      </c>
      <c r="G26" s="136">
        <f t="shared" si="0"/>
        <v>0.004889776742101514</v>
      </c>
      <c r="H26" s="136">
        <f t="shared" si="3"/>
        <v>0.9856253704801423</v>
      </c>
      <c r="I26" s="47">
        <f t="shared" si="4"/>
        <v>-48.5</v>
      </c>
      <c r="J26" s="136">
        <f t="shared" si="1"/>
        <v>0.004894411193219394</v>
      </c>
      <c r="K26" s="136">
        <f t="shared" si="5"/>
        <v>0.9204630882574049</v>
      </c>
      <c r="L26" s="47">
        <f t="shared" si="6"/>
        <v>-264.5</v>
      </c>
      <c r="M26" s="136">
        <f t="shared" si="2"/>
        <v>0.004209850708266528</v>
      </c>
      <c r="N26" s="136">
        <f t="shared" si="7"/>
        <v>0.8836981378634433</v>
      </c>
      <c r="O26" s="47">
        <f t="shared" si="8"/>
        <v>-356</v>
      </c>
      <c r="P26" s="137">
        <f t="shared" si="9"/>
        <v>0.5406130361627935</v>
      </c>
      <c r="R26" s="138">
        <v>680092.4</v>
      </c>
      <c r="S26" s="139">
        <v>625407.2</v>
      </c>
      <c r="T26" s="139">
        <v>642540.6</v>
      </c>
    </row>
    <row r="27" spans="1:20" ht="40.5" customHeight="1" hidden="1">
      <c r="A27" s="135"/>
      <c r="B27" s="143" t="s">
        <v>75</v>
      </c>
      <c r="C27" s="20">
        <f>0</f>
        <v>0</v>
      </c>
      <c r="D27" s="20">
        <f>0</f>
        <v>0</v>
      </c>
      <c r="E27" s="20">
        <f>0</f>
        <v>0</v>
      </c>
      <c r="F27" s="20">
        <f>0</f>
        <v>0</v>
      </c>
      <c r="G27" s="136">
        <f t="shared" si="0"/>
        <v>0</v>
      </c>
      <c r="H27" s="136" t="e">
        <f t="shared" si="3"/>
        <v>#DIV/0!</v>
      </c>
      <c r="I27" s="47">
        <f t="shared" si="4"/>
        <v>0</v>
      </c>
      <c r="J27" s="136">
        <f t="shared" si="1"/>
        <v>0</v>
      </c>
      <c r="K27" s="136" t="e">
        <f t="shared" si="5"/>
        <v>#DIV/0!</v>
      </c>
      <c r="L27" s="47">
        <f t="shared" si="6"/>
        <v>0</v>
      </c>
      <c r="M27" s="136">
        <f t="shared" si="2"/>
        <v>0</v>
      </c>
      <c r="N27" s="136" t="e">
        <f t="shared" si="7"/>
        <v>#DIV/0!</v>
      </c>
      <c r="O27" s="47">
        <f t="shared" si="8"/>
        <v>0</v>
      </c>
      <c r="P27" s="137">
        <f t="shared" si="9"/>
        <v>0</v>
      </c>
      <c r="R27" s="138">
        <v>680092.4</v>
      </c>
      <c r="S27" s="139">
        <v>625407.2</v>
      </c>
      <c r="T27" s="139">
        <v>642540.6</v>
      </c>
    </row>
    <row r="28" spans="1:20" ht="47.25" customHeight="1">
      <c r="A28" s="135"/>
      <c r="B28" s="48" t="s">
        <v>255</v>
      </c>
      <c r="C28" s="47">
        <v>50</v>
      </c>
      <c r="D28" s="47">
        <v>140.3</v>
      </c>
      <c r="E28" s="47">
        <v>140.3</v>
      </c>
      <c r="F28" s="47">
        <v>140.3</v>
      </c>
      <c r="G28" s="136">
        <f t="shared" si="0"/>
        <v>0.00020629549749416403</v>
      </c>
      <c r="H28" s="136">
        <f t="shared" si="3"/>
        <v>2.806</v>
      </c>
      <c r="I28" s="47">
        <f t="shared" si="4"/>
        <v>90.30000000000001</v>
      </c>
      <c r="J28" s="136">
        <f t="shared" si="1"/>
        <v>0.00022433384201525026</v>
      </c>
      <c r="K28" s="136">
        <f t="shared" si="5"/>
        <v>1</v>
      </c>
      <c r="L28" s="47">
        <f t="shared" si="6"/>
        <v>0</v>
      </c>
      <c r="M28" s="136">
        <f t="shared" si="2"/>
        <v>0.00021835196095001627</v>
      </c>
      <c r="N28" s="136">
        <f t="shared" si="7"/>
        <v>1</v>
      </c>
      <c r="O28" s="47">
        <f t="shared" si="8"/>
        <v>0</v>
      </c>
      <c r="P28" s="137">
        <f t="shared" si="9"/>
        <v>0.022808001495606658</v>
      </c>
      <c r="R28" s="138">
        <v>680092.4</v>
      </c>
      <c r="S28" s="139">
        <v>625407.2</v>
      </c>
      <c r="T28" s="139">
        <v>642540.6</v>
      </c>
    </row>
    <row r="29" spans="1:20" ht="41.25" customHeight="1">
      <c r="A29" s="135"/>
      <c r="B29" s="48" t="s">
        <v>234</v>
      </c>
      <c r="C29" s="47">
        <v>263.3</v>
      </c>
      <c r="D29" s="47">
        <v>280</v>
      </c>
      <c r="E29" s="47">
        <v>200</v>
      </c>
      <c r="F29" s="47">
        <v>50</v>
      </c>
      <c r="G29" s="136">
        <f t="shared" si="0"/>
        <v>0.0004117087619270558</v>
      </c>
      <c r="H29" s="136">
        <f t="shared" si="3"/>
        <v>1.0634257500949487</v>
      </c>
      <c r="I29" s="47">
        <f t="shared" si="4"/>
        <v>16.69999999999999</v>
      </c>
      <c r="J29" s="136">
        <f t="shared" si="1"/>
        <v>0.000319791649344619</v>
      </c>
      <c r="K29" s="136">
        <f t="shared" si="5"/>
        <v>0.7142857142857143</v>
      </c>
      <c r="L29" s="47">
        <f t="shared" si="6"/>
        <v>-80</v>
      </c>
      <c r="M29" s="136">
        <f t="shared" si="2"/>
        <v>7.78160944226715E-05</v>
      </c>
      <c r="N29" s="136">
        <f t="shared" si="7"/>
        <v>0.25</v>
      </c>
      <c r="O29" s="47">
        <f t="shared" si="8"/>
        <v>-150</v>
      </c>
      <c r="P29" s="137">
        <f t="shared" si="9"/>
        <v>0.04551846342672747</v>
      </c>
      <c r="R29" s="138">
        <v>680092.4</v>
      </c>
      <c r="S29" s="139">
        <v>625407.2</v>
      </c>
      <c r="T29" s="139">
        <v>642540.6</v>
      </c>
    </row>
    <row r="30" spans="1:20" ht="37.5" customHeight="1">
      <c r="A30" s="135"/>
      <c r="B30" s="48" t="s">
        <v>256</v>
      </c>
      <c r="C30" s="47">
        <v>200</v>
      </c>
      <c r="D30" s="47">
        <v>250</v>
      </c>
      <c r="E30" s="47">
        <v>100</v>
      </c>
      <c r="F30" s="47">
        <v>50</v>
      </c>
      <c r="G30" s="136">
        <f t="shared" si="0"/>
        <v>0.00036759710886344267</v>
      </c>
      <c r="H30" s="136">
        <f t="shared" si="3"/>
        <v>1.25</v>
      </c>
      <c r="I30" s="47">
        <f t="shared" si="4"/>
        <v>50</v>
      </c>
      <c r="J30" s="136">
        <f t="shared" si="1"/>
        <v>0.0001598958246723095</v>
      </c>
      <c r="K30" s="136">
        <f t="shared" si="5"/>
        <v>0.4</v>
      </c>
      <c r="L30" s="47">
        <f t="shared" si="6"/>
        <v>-150</v>
      </c>
      <c r="M30" s="136">
        <f t="shared" si="2"/>
        <v>7.78160944226715E-05</v>
      </c>
      <c r="N30" s="136">
        <f t="shared" si="7"/>
        <v>0.5</v>
      </c>
      <c r="O30" s="47">
        <f t="shared" si="8"/>
        <v>-50</v>
      </c>
      <c r="P30" s="137">
        <f t="shared" si="9"/>
        <v>0.04064148520243524</v>
      </c>
      <c r="R30" s="138">
        <v>680092.4</v>
      </c>
      <c r="S30" s="139">
        <v>625407.2</v>
      </c>
      <c r="T30" s="139">
        <v>642540.6</v>
      </c>
    </row>
    <row r="31" spans="1:20" ht="45" customHeight="1">
      <c r="A31" s="135"/>
      <c r="B31" s="48" t="s">
        <v>285</v>
      </c>
      <c r="C31" s="47">
        <v>4003.5</v>
      </c>
      <c r="D31" s="47">
        <v>4116.7</v>
      </c>
      <c r="E31" s="47">
        <v>3823.9</v>
      </c>
      <c r="F31" s="47">
        <v>3434.6</v>
      </c>
      <c r="G31" s="136">
        <f t="shared" si="0"/>
        <v>0.006053148072232537</v>
      </c>
      <c r="H31" s="136">
        <f t="shared" si="3"/>
        <v>1.0282752591482451</v>
      </c>
      <c r="I31" s="47">
        <f t="shared" si="4"/>
        <v>113.19999999999982</v>
      </c>
      <c r="J31" s="136">
        <f t="shared" si="1"/>
        <v>0.0061142564396444435</v>
      </c>
      <c r="K31" s="136">
        <f t="shared" si="5"/>
        <v>0.9288750698374912</v>
      </c>
      <c r="L31" s="47">
        <f t="shared" si="6"/>
        <v>-292.7999999999997</v>
      </c>
      <c r="M31" s="136">
        <f t="shared" si="2"/>
        <v>0.0053453431580821505</v>
      </c>
      <c r="N31" s="136">
        <f t="shared" si="7"/>
        <v>0.8981929443761604</v>
      </c>
      <c r="O31" s="47">
        <f t="shared" si="8"/>
        <v>-389.3000000000002</v>
      </c>
      <c r="P31" s="137">
        <f t="shared" si="9"/>
        <v>0.6692352085314606</v>
      </c>
      <c r="R31" s="138">
        <v>680092.4</v>
      </c>
      <c r="S31" s="139">
        <v>625407.2</v>
      </c>
      <c r="T31" s="139">
        <v>642540.6</v>
      </c>
    </row>
    <row r="32" spans="1:20" s="61" customFormat="1" ht="50.25" customHeight="1">
      <c r="A32" s="184"/>
      <c r="B32" s="148" t="s">
        <v>286</v>
      </c>
      <c r="C32" s="47">
        <v>594.6</v>
      </c>
      <c r="D32" s="20">
        <v>618.7</v>
      </c>
      <c r="E32" s="20">
        <v>639.4</v>
      </c>
      <c r="F32" s="20">
        <v>659.9</v>
      </c>
      <c r="G32" s="144">
        <f t="shared" si="0"/>
        <v>0.000909729325015248</v>
      </c>
      <c r="H32" s="144">
        <f t="shared" si="3"/>
        <v>1.0405314497140936</v>
      </c>
      <c r="I32" s="20">
        <f t="shared" si="4"/>
        <v>24.100000000000023</v>
      </c>
      <c r="J32" s="144">
        <f t="shared" si="1"/>
        <v>0.001022373902954747</v>
      </c>
      <c r="K32" s="144">
        <f t="shared" si="5"/>
        <v>1.033457249070632</v>
      </c>
      <c r="L32" s="20">
        <f t="shared" si="6"/>
        <v>20.699999999999932</v>
      </c>
      <c r="M32" s="144">
        <f t="shared" si="2"/>
        <v>0.0010270168141904184</v>
      </c>
      <c r="N32" s="144">
        <f t="shared" si="7"/>
        <v>1.0320613074757585</v>
      </c>
      <c r="O32" s="20">
        <f t="shared" si="8"/>
        <v>20.5</v>
      </c>
      <c r="P32" s="145">
        <f t="shared" si="9"/>
        <v>0.10057954757898674</v>
      </c>
      <c r="R32" s="146">
        <v>680092.4</v>
      </c>
      <c r="S32" s="147">
        <v>625407.2</v>
      </c>
      <c r="T32" s="147">
        <v>642540.6</v>
      </c>
    </row>
    <row r="33" spans="1:20" ht="40.5" customHeight="1">
      <c r="A33" s="185"/>
      <c r="B33" s="93" t="s">
        <v>77</v>
      </c>
      <c r="C33" s="47">
        <v>0</v>
      </c>
      <c r="D33" s="47">
        <v>0</v>
      </c>
      <c r="E33" s="47">
        <v>0</v>
      </c>
      <c r="F33" s="47">
        <v>0</v>
      </c>
      <c r="G33" s="136">
        <f t="shared" si="0"/>
        <v>0</v>
      </c>
      <c r="H33" s="136" t="e">
        <f t="shared" si="3"/>
        <v>#DIV/0!</v>
      </c>
      <c r="I33" s="47">
        <f t="shared" si="4"/>
        <v>0</v>
      </c>
      <c r="J33" s="136">
        <f t="shared" si="1"/>
        <v>0</v>
      </c>
      <c r="K33" s="136" t="e">
        <f t="shared" si="5"/>
        <v>#DIV/0!</v>
      </c>
      <c r="L33" s="47">
        <f t="shared" si="6"/>
        <v>0</v>
      </c>
      <c r="M33" s="136">
        <f t="shared" si="2"/>
        <v>0</v>
      </c>
      <c r="N33" s="136" t="e">
        <f t="shared" si="7"/>
        <v>#DIV/0!</v>
      </c>
      <c r="O33" s="47">
        <f t="shared" si="8"/>
        <v>0</v>
      </c>
      <c r="P33" s="137">
        <f t="shared" si="9"/>
        <v>0</v>
      </c>
      <c r="R33" s="138">
        <v>680092.4</v>
      </c>
      <c r="S33" s="139">
        <v>625407.2</v>
      </c>
      <c r="T33" s="139">
        <v>642540.6</v>
      </c>
    </row>
    <row r="34" spans="1:20" ht="53.25" customHeight="1">
      <c r="A34" s="135"/>
      <c r="B34" s="93" t="s">
        <v>12</v>
      </c>
      <c r="C34" s="47">
        <f>2000</f>
        <v>2000</v>
      </c>
      <c r="D34" s="47">
        <v>6061.7</v>
      </c>
      <c r="E34" s="47">
        <v>0</v>
      </c>
      <c r="F34" s="47">
        <v>0</v>
      </c>
      <c r="G34" s="136">
        <f t="shared" si="0"/>
        <v>0.008913053579190122</v>
      </c>
      <c r="H34" s="136">
        <f t="shared" si="3"/>
        <v>3.03085</v>
      </c>
      <c r="I34" s="47">
        <f t="shared" si="4"/>
        <v>4061.7</v>
      </c>
      <c r="J34" s="136">
        <f t="shared" si="1"/>
        <v>0</v>
      </c>
      <c r="K34" s="136">
        <f t="shared" si="5"/>
        <v>0</v>
      </c>
      <c r="L34" s="47">
        <f t="shared" si="6"/>
        <v>-6061.7</v>
      </c>
      <c r="M34" s="136">
        <f t="shared" si="2"/>
        <v>0</v>
      </c>
      <c r="N34" s="136" t="e">
        <f t="shared" si="7"/>
        <v>#DIV/0!</v>
      </c>
      <c r="O34" s="47">
        <f t="shared" si="8"/>
        <v>0</v>
      </c>
      <c r="P34" s="137">
        <f t="shared" si="9"/>
        <v>0.9854259634064068</v>
      </c>
      <c r="R34" s="138">
        <v>680092.4</v>
      </c>
      <c r="S34" s="139">
        <v>625407.2</v>
      </c>
      <c r="T34" s="139">
        <v>642540.6</v>
      </c>
    </row>
    <row r="35" spans="1:20" s="60" customFormat="1" ht="40.5" customHeight="1" hidden="1">
      <c r="A35" s="6" t="s">
        <v>78</v>
      </c>
      <c r="B35" s="7" t="s">
        <v>79</v>
      </c>
      <c r="C35" s="10">
        <f>C36</f>
        <v>0</v>
      </c>
      <c r="D35" s="10">
        <f>D36</f>
        <v>0</v>
      </c>
      <c r="E35" s="10">
        <f>E36</f>
        <v>0</v>
      </c>
      <c r="F35" s="10">
        <f>F36</f>
        <v>0</v>
      </c>
      <c r="G35" s="141">
        <f t="shared" si="0"/>
        <v>0</v>
      </c>
      <c r="H35" s="141" t="e">
        <f t="shared" si="3"/>
        <v>#DIV/0!</v>
      </c>
      <c r="I35" s="10">
        <f t="shared" si="4"/>
        <v>0</v>
      </c>
      <c r="J35" s="141">
        <f t="shared" si="1"/>
        <v>0</v>
      </c>
      <c r="K35" s="141" t="e">
        <f t="shared" si="5"/>
        <v>#DIV/0!</v>
      </c>
      <c r="L35" s="10">
        <f t="shared" si="6"/>
        <v>0</v>
      </c>
      <c r="M35" s="141">
        <f t="shared" si="2"/>
        <v>0</v>
      </c>
      <c r="N35" s="141" t="e">
        <f t="shared" si="7"/>
        <v>#DIV/0!</v>
      </c>
      <c r="O35" s="10">
        <f t="shared" si="8"/>
        <v>0</v>
      </c>
      <c r="P35" s="142">
        <f t="shared" si="9"/>
        <v>0</v>
      </c>
      <c r="R35" s="138">
        <v>680092.4</v>
      </c>
      <c r="S35" s="139">
        <v>625407.2</v>
      </c>
      <c r="T35" s="139">
        <v>642540.6</v>
      </c>
    </row>
    <row r="36" spans="1:20" ht="40.5" customHeight="1" hidden="1">
      <c r="A36" s="6" t="s">
        <v>80</v>
      </c>
      <c r="B36" s="7" t="s">
        <v>81</v>
      </c>
      <c r="C36" s="10">
        <f>0</f>
        <v>0</v>
      </c>
      <c r="D36" s="10">
        <f>0</f>
        <v>0</v>
      </c>
      <c r="E36" s="10">
        <f>0</f>
        <v>0</v>
      </c>
      <c r="F36" s="10">
        <f>0</f>
        <v>0</v>
      </c>
      <c r="G36" s="141">
        <f t="shared" si="0"/>
        <v>0</v>
      </c>
      <c r="H36" s="141" t="e">
        <f t="shared" si="3"/>
        <v>#DIV/0!</v>
      </c>
      <c r="I36" s="10">
        <f t="shared" si="4"/>
        <v>0</v>
      </c>
      <c r="J36" s="141">
        <f t="shared" si="1"/>
        <v>0</v>
      </c>
      <c r="K36" s="141" t="e">
        <f t="shared" si="5"/>
        <v>#DIV/0!</v>
      </c>
      <c r="L36" s="10">
        <f t="shared" si="6"/>
        <v>0</v>
      </c>
      <c r="M36" s="141">
        <f t="shared" si="2"/>
        <v>0</v>
      </c>
      <c r="N36" s="141" t="e">
        <f t="shared" si="7"/>
        <v>#DIV/0!</v>
      </c>
      <c r="O36" s="10">
        <f t="shared" si="8"/>
        <v>0</v>
      </c>
      <c r="P36" s="142">
        <f t="shared" si="9"/>
        <v>0</v>
      </c>
      <c r="R36" s="138">
        <v>680092.4</v>
      </c>
      <c r="S36" s="139">
        <v>625407.2</v>
      </c>
      <c r="T36" s="139">
        <v>642540.6</v>
      </c>
    </row>
    <row r="37" spans="1:20" s="129" customFormat="1" ht="40.5" customHeight="1">
      <c r="A37" s="50" t="s">
        <v>82</v>
      </c>
      <c r="B37" s="51" t="s">
        <v>257</v>
      </c>
      <c r="C37" s="46">
        <f>C38+C45</f>
        <v>200</v>
      </c>
      <c r="D37" s="46">
        <f>D38+D45</f>
        <v>0</v>
      </c>
      <c r="E37" s="46">
        <f>E38+E45</f>
        <v>0</v>
      </c>
      <c r="F37" s="46">
        <f>F38+F45</f>
        <v>0</v>
      </c>
      <c r="G37" s="125">
        <f t="shared" si="0"/>
        <v>0</v>
      </c>
      <c r="H37" s="125">
        <f t="shared" si="3"/>
        <v>0</v>
      </c>
      <c r="I37" s="46">
        <f t="shared" si="4"/>
        <v>-200</v>
      </c>
      <c r="J37" s="125">
        <f t="shared" si="1"/>
        <v>0</v>
      </c>
      <c r="K37" s="125" t="e">
        <f t="shared" si="5"/>
        <v>#DIV/0!</v>
      </c>
      <c r="L37" s="46">
        <f t="shared" si="6"/>
        <v>0</v>
      </c>
      <c r="M37" s="125">
        <f t="shared" si="2"/>
        <v>0</v>
      </c>
      <c r="N37" s="125" t="e">
        <f t="shared" si="7"/>
        <v>#DIV/0!</v>
      </c>
      <c r="O37" s="46">
        <f t="shared" si="8"/>
        <v>0</v>
      </c>
      <c r="P37" s="126">
        <f t="shared" si="9"/>
        <v>0</v>
      </c>
      <c r="Q37" s="126">
        <f>D37/C37*100</f>
        <v>0</v>
      </c>
      <c r="R37" s="127">
        <v>680092.4</v>
      </c>
      <c r="S37" s="128">
        <v>625407.2</v>
      </c>
      <c r="T37" s="128">
        <v>642540.6</v>
      </c>
    </row>
    <row r="38" spans="1:20" s="132" customFormat="1" ht="40.5" customHeight="1">
      <c r="A38" s="95" t="s">
        <v>83</v>
      </c>
      <c r="B38" s="9" t="s">
        <v>287</v>
      </c>
      <c r="C38" s="49">
        <f>200</f>
        <v>200</v>
      </c>
      <c r="D38" s="49">
        <v>0</v>
      </c>
      <c r="E38" s="49">
        <v>0</v>
      </c>
      <c r="F38" s="49">
        <v>0</v>
      </c>
      <c r="G38" s="98">
        <f t="shared" si="0"/>
        <v>0</v>
      </c>
      <c r="H38" s="98">
        <f t="shared" si="3"/>
        <v>0</v>
      </c>
      <c r="I38" s="49">
        <f t="shared" si="4"/>
        <v>-200</v>
      </c>
      <c r="J38" s="98">
        <f t="shared" si="1"/>
        <v>0</v>
      </c>
      <c r="K38" s="98" t="e">
        <f t="shared" si="5"/>
        <v>#DIV/0!</v>
      </c>
      <c r="L38" s="49">
        <f t="shared" si="6"/>
        <v>0</v>
      </c>
      <c r="M38" s="98">
        <f t="shared" si="2"/>
        <v>0</v>
      </c>
      <c r="N38" s="98" t="e">
        <f t="shared" si="7"/>
        <v>#DIV/0!</v>
      </c>
      <c r="O38" s="49">
        <f t="shared" si="8"/>
        <v>0</v>
      </c>
      <c r="P38" s="131">
        <f t="shared" si="9"/>
        <v>0</v>
      </c>
      <c r="R38" s="133">
        <v>680092.4</v>
      </c>
      <c r="S38" s="134">
        <v>625407.2</v>
      </c>
      <c r="T38" s="134">
        <v>642540.6</v>
      </c>
    </row>
    <row r="39" spans="1:20" ht="40.5" customHeight="1" hidden="1">
      <c r="A39" s="135"/>
      <c r="B39" s="48" t="s">
        <v>84</v>
      </c>
      <c r="C39" s="47"/>
      <c r="D39" s="47"/>
      <c r="E39" s="47"/>
      <c r="F39" s="47"/>
      <c r="G39" s="136">
        <f t="shared" si="0"/>
        <v>0</v>
      </c>
      <c r="H39" s="136" t="e">
        <f t="shared" si="3"/>
        <v>#DIV/0!</v>
      </c>
      <c r="I39" s="47">
        <f t="shared" si="4"/>
        <v>0</v>
      </c>
      <c r="J39" s="136">
        <f t="shared" si="1"/>
        <v>0</v>
      </c>
      <c r="K39" s="136" t="e">
        <f t="shared" si="5"/>
        <v>#DIV/0!</v>
      </c>
      <c r="L39" s="47">
        <f t="shared" si="6"/>
        <v>0</v>
      </c>
      <c r="M39" s="136">
        <f t="shared" si="2"/>
        <v>0</v>
      </c>
      <c r="N39" s="136" t="e">
        <f t="shared" si="7"/>
        <v>#DIV/0!</v>
      </c>
      <c r="O39" s="47">
        <f t="shared" si="8"/>
        <v>0</v>
      </c>
      <c r="P39" s="137">
        <f t="shared" si="9"/>
        <v>0</v>
      </c>
      <c r="R39" s="138">
        <v>680092.4</v>
      </c>
      <c r="S39" s="139">
        <v>625407.2</v>
      </c>
      <c r="T39" s="139">
        <v>642540.6</v>
      </c>
    </row>
    <row r="40" spans="1:20" ht="40.5" customHeight="1">
      <c r="A40" s="135"/>
      <c r="B40" s="48" t="s">
        <v>288</v>
      </c>
      <c r="C40" s="47">
        <f>200</f>
        <v>200</v>
      </c>
      <c r="D40" s="47">
        <v>0</v>
      </c>
      <c r="E40" s="47">
        <v>0</v>
      </c>
      <c r="F40" s="47">
        <v>0</v>
      </c>
      <c r="G40" s="136">
        <f t="shared" si="0"/>
        <v>0</v>
      </c>
      <c r="H40" s="136">
        <f t="shared" si="3"/>
        <v>0</v>
      </c>
      <c r="I40" s="47">
        <f t="shared" si="4"/>
        <v>-200</v>
      </c>
      <c r="J40" s="136">
        <f t="shared" si="1"/>
        <v>0</v>
      </c>
      <c r="K40" s="136" t="e">
        <f t="shared" si="5"/>
        <v>#DIV/0!</v>
      </c>
      <c r="L40" s="47">
        <f t="shared" si="6"/>
        <v>0</v>
      </c>
      <c r="M40" s="136">
        <f t="shared" si="2"/>
        <v>0</v>
      </c>
      <c r="N40" s="136" t="e">
        <f t="shared" si="7"/>
        <v>#DIV/0!</v>
      </c>
      <c r="O40" s="47">
        <f t="shared" si="8"/>
        <v>0</v>
      </c>
      <c r="P40" s="137">
        <f t="shared" si="9"/>
        <v>0</v>
      </c>
      <c r="R40" s="138">
        <v>680092.4</v>
      </c>
      <c r="S40" s="139">
        <v>625407.2</v>
      </c>
      <c r="T40" s="139">
        <v>642540.6</v>
      </c>
    </row>
    <row r="41" spans="1:20" ht="40.5" customHeight="1" hidden="1">
      <c r="A41" s="6"/>
      <c r="B41" s="7" t="s">
        <v>85</v>
      </c>
      <c r="C41" s="10">
        <v>0</v>
      </c>
      <c r="D41" s="10">
        <v>0</v>
      </c>
      <c r="E41" s="10">
        <v>0</v>
      </c>
      <c r="F41" s="10">
        <v>0</v>
      </c>
      <c r="G41" s="141">
        <f t="shared" si="0"/>
        <v>0</v>
      </c>
      <c r="H41" s="141" t="e">
        <f t="shared" si="3"/>
        <v>#DIV/0!</v>
      </c>
      <c r="I41" s="10">
        <f t="shared" si="4"/>
        <v>0</v>
      </c>
      <c r="J41" s="141">
        <f t="shared" si="1"/>
        <v>0</v>
      </c>
      <c r="K41" s="141" t="e">
        <f t="shared" si="5"/>
        <v>#DIV/0!</v>
      </c>
      <c r="L41" s="10">
        <f t="shared" si="6"/>
        <v>0</v>
      </c>
      <c r="M41" s="141">
        <f t="shared" si="2"/>
        <v>0</v>
      </c>
      <c r="N41" s="141" t="e">
        <f t="shared" si="7"/>
        <v>#DIV/0!</v>
      </c>
      <c r="O41" s="10">
        <f t="shared" si="8"/>
        <v>0</v>
      </c>
      <c r="P41" s="142">
        <f t="shared" si="9"/>
        <v>0</v>
      </c>
      <c r="R41" s="138">
        <v>680092.4</v>
      </c>
      <c r="S41" s="139">
        <v>625407.2</v>
      </c>
      <c r="T41" s="139">
        <v>642540.6</v>
      </c>
    </row>
    <row r="42" spans="1:20" ht="40.5" customHeight="1" hidden="1">
      <c r="A42" s="6"/>
      <c r="B42" s="7" t="s">
        <v>86</v>
      </c>
      <c r="C42" s="10">
        <v>0</v>
      </c>
      <c r="D42" s="10">
        <v>0</v>
      </c>
      <c r="E42" s="10">
        <v>0</v>
      </c>
      <c r="F42" s="10">
        <v>0</v>
      </c>
      <c r="G42" s="141">
        <f t="shared" si="0"/>
        <v>0</v>
      </c>
      <c r="H42" s="141" t="e">
        <f t="shared" si="3"/>
        <v>#DIV/0!</v>
      </c>
      <c r="I42" s="10">
        <f t="shared" si="4"/>
        <v>0</v>
      </c>
      <c r="J42" s="141">
        <f t="shared" si="1"/>
        <v>0</v>
      </c>
      <c r="K42" s="141" t="e">
        <f t="shared" si="5"/>
        <v>#DIV/0!</v>
      </c>
      <c r="L42" s="10">
        <f t="shared" si="6"/>
        <v>0</v>
      </c>
      <c r="M42" s="141">
        <f t="shared" si="2"/>
        <v>0</v>
      </c>
      <c r="N42" s="141" t="e">
        <f t="shared" si="7"/>
        <v>#DIV/0!</v>
      </c>
      <c r="O42" s="10">
        <f t="shared" si="8"/>
        <v>0</v>
      </c>
      <c r="P42" s="142">
        <f t="shared" si="9"/>
        <v>0</v>
      </c>
      <c r="R42" s="138">
        <v>680092.4</v>
      </c>
      <c r="S42" s="139">
        <v>625407.2</v>
      </c>
      <c r="T42" s="139">
        <v>642540.6</v>
      </c>
    </row>
    <row r="43" spans="1:20" ht="40.5" customHeight="1" hidden="1">
      <c r="A43" s="6"/>
      <c r="B43" s="7" t="s">
        <v>87</v>
      </c>
      <c r="C43" s="10">
        <v>0</v>
      </c>
      <c r="D43" s="10">
        <v>0</v>
      </c>
      <c r="E43" s="10">
        <v>0</v>
      </c>
      <c r="F43" s="10">
        <v>0</v>
      </c>
      <c r="G43" s="141">
        <f t="shared" si="0"/>
        <v>0</v>
      </c>
      <c r="H43" s="141" t="e">
        <f t="shared" si="3"/>
        <v>#DIV/0!</v>
      </c>
      <c r="I43" s="10">
        <f t="shared" si="4"/>
        <v>0</v>
      </c>
      <c r="J43" s="141">
        <f t="shared" si="1"/>
        <v>0</v>
      </c>
      <c r="K43" s="141" t="e">
        <f t="shared" si="5"/>
        <v>#DIV/0!</v>
      </c>
      <c r="L43" s="10">
        <f t="shared" si="6"/>
        <v>0</v>
      </c>
      <c r="M43" s="141">
        <f t="shared" si="2"/>
        <v>0</v>
      </c>
      <c r="N43" s="141" t="e">
        <f t="shared" si="7"/>
        <v>#DIV/0!</v>
      </c>
      <c r="O43" s="10">
        <f t="shared" si="8"/>
        <v>0</v>
      </c>
      <c r="P43" s="142">
        <f t="shared" si="9"/>
        <v>0</v>
      </c>
      <c r="R43" s="138">
        <v>680092.4</v>
      </c>
      <c r="S43" s="139">
        <v>625407.2</v>
      </c>
      <c r="T43" s="139">
        <v>642540.6</v>
      </c>
    </row>
    <row r="44" spans="1:20" ht="40.5" customHeight="1" hidden="1">
      <c r="A44" s="6"/>
      <c r="B44" s="7" t="s">
        <v>88</v>
      </c>
      <c r="C44" s="10">
        <v>0</v>
      </c>
      <c r="D44" s="10">
        <v>0</v>
      </c>
      <c r="E44" s="10">
        <v>0</v>
      </c>
      <c r="F44" s="10">
        <v>0</v>
      </c>
      <c r="G44" s="141">
        <f t="shared" si="0"/>
        <v>0</v>
      </c>
      <c r="H44" s="141" t="e">
        <f t="shared" si="3"/>
        <v>#DIV/0!</v>
      </c>
      <c r="I44" s="10">
        <f t="shared" si="4"/>
        <v>0</v>
      </c>
      <c r="J44" s="141">
        <f t="shared" si="1"/>
        <v>0</v>
      </c>
      <c r="K44" s="141" t="e">
        <f t="shared" si="5"/>
        <v>#DIV/0!</v>
      </c>
      <c r="L44" s="10">
        <f t="shared" si="6"/>
        <v>0</v>
      </c>
      <c r="M44" s="141">
        <f t="shared" si="2"/>
        <v>0</v>
      </c>
      <c r="N44" s="141" t="e">
        <f t="shared" si="7"/>
        <v>#DIV/0!</v>
      </c>
      <c r="O44" s="10">
        <f t="shared" si="8"/>
        <v>0</v>
      </c>
      <c r="P44" s="142">
        <f t="shared" si="9"/>
        <v>0</v>
      </c>
      <c r="R44" s="138">
        <v>680092.4</v>
      </c>
      <c r="S44" s="139">
        <v>625407.2</v>
      </c>
      <c r="T44" s="139">
        <v>642540.6</v>
      </c>
    </row>
    <row r="45" spans="1:20" ht="18.75" hidden="1">
      <c r="A45" s="6" t="s">
        <v>89</v>
      </c>
      <c r="B45" s="7" t="s">
        <v>90</v>
      </c>
      <c r="C45" s="10"/>
      <c r="D45" s="10"/>
      <c r="E45" s="10"/>
      <c r="F45" s="10"/>
      <c r="G45" s="141">
        <f t="shared" si="0"/>
        <v>0</v>
      </c>
      <c r="H45" s="141" t="e">
        <f t="shared" si="3"/>
        <v>#DIV/0!</v>
      </c>
      <c r="I45" s="10">
        <f t="shared" si="4"/>
        <v>0</v>
      </c>
      <c r="J45" s="141">
        <f t="shared" si="1"/>
        <v>0</v>
      </c>
      <c r="K45" s="141" t="e">
        <f t="shared" si="5"/>
        <v>#DIV/0!</v>
      </c>
      <c r="L45" s="10">
        <f t="shared" si="6"/>
        <v>0</v>
      </c>
      <c r="M45" s="141">
        <f t="shared" si="2"/>
        <v>0</v>
      </c>
      <c r="N45" s="141" t="e">
        <f t="shared" si="7"/>
        <v>#DIV/0!</v>
      </c>
      <c r="O45" s="10">
        <f t="shared" si="8"/>
        <v>0</v>
      </c>
      <c r="P45" s="142">
        <f t="shared" si="9"/>
        <v>0</v>
      </c>
      <c r="R45" s="138">
        <v>680092.4</v>
      </c>
      <c r="S45" s="139">
        <v>625407.2</v>
      </c>
      <c r="T45" s="139">
        <v>642540.6</v>
      </c>
    </row>
    <row r="46" spans="1:20" ht="18.75" hidden="1">
      <c r="A46" s="6"/>
      <c r="B46" s="7" t="s">
        <v>91</v>
      </c>
      <c r="C46" s="10"/>
      <c r="D46" s="10"/>
      <c r="E46" s="10"/>
      <c r="F46" s="10"/>
      <c r="G46" s="141">
        <f t="shared" si="0"/>
        <v>0</v>
      </c>
      <c r="H46" s="141" t="e">
        <f t="shared" si="3"/>
        <v>#DIV/0!</v>
      </c>
      <c r="I46" s="10">
        <f t="shared" si="4"/>
        <v>0</v>
      </c>
      <c r="J46" s="141">
        <f t="shared" si="1"/>
        <v>0</v>
      </c>
      <c r="K46" s="141" t="e">
        <f t="shared" si="5"/>
        <v>#DIV/0!</v>
      </c>
      <c r="L46" s="10">
        <f t="shared" si="6"/>
        <v>0</v>
      </c>
      <c r="M46" s="141">
        <f t="shared" si="2"/>
        <v>0</v>
      </c>
      <c r="N46" s="141" t="e">
        <f t="shared" si="7"/>
        <v>#DIV/0!</v>
      </c>
      <c r="O46" s="10">
        <f t="shared" si="8"/>
        <v>0</v>
      </c>
      <c r="P46" s="142">
        <f t="shared" si="9"/>
        <v>0</v>
      </c>
      <c r="R46" s="138">
        <v>680092.4</v>
      </c>
      <c r="S46" s="139">
        <v>625407.2</v>
      </c>
      <c r="T46" s="139">
        <v>642540.6</v>
      </c>
    </row>
    <row r="47" spans="1:20" s="129" customFormat="1" ht="36" customHeight="1">
      <c r="A47" s="50" t="s">
        <v>92</v>
      </c>
      <c r="B47" s="51" t="s">
        <v>93</v>
      </c>
      <c r="C47" s="46">
        <f>C48+C52+C65</f>
        <v>24986.4</v>
      </c>
      <c r="D47" s="46">
        <f>D48+D50+D52+D65</f>
        <v>29846.499999999996</v>
      </c>
      <c r="E47" s="46">
        <f>E48+E50+E52+E65</f>
        <v>21097.7</v>
      </c>
      <c r="F47" s="46">
        <f>F48+F50+F52+F65</f>
        <v>21365.300000000003</v>
      </c>
      <c r="G47" s="125">
        <f t="shared" si="0"/>
        <v>0.04388594843877096</v>
      </c>
      <c r="H47" s="125">
        <f t="shared" si="3"/>
        <v>1.194509813338456</v>
      </c>
      <c r="I47" s="46">
        <f t="shared" si="4"/>
        <v>4860.099999999995</v>
      </c>
      <c r="J47" s="125">
        <f t="shared" si="1"/>
        <v>0.03373434140188984</v>
      </c>
      <c r="K47" s="125">
        <f t="shared" si="5"/>
        <v>0.7068735027557671</v>
      </c>
      <c r="L47" s="46">
        <f t="shared" si="6"/>
        <v>-8748.799999999996</v>
      </c>
      <c r="M47" s="125">
        <f t="shared" si="2"/>
        <v>0.033251284043374074</v>
      </c>
      <c r="N47" s="125">
        <f t="shared" si="7"/>
        <v>1.0126838470544184</v>
      </c>
      <c r="O47" s="46">
        <f t="shared" si="8"/>
        <v>267.6000000000022</v>
      </c>
      <c r="P47" s="126">
        <f t="shared" si="9"/>
        <v>4.852024352377933</v>
      </c>
      <c r="Q47" s="126">
        <f>D47/C47*100</f>
        <v>119.45098133384559</v>
      </c>
      <c r="R47" s="127">
        <v>680092.4</v>
      </c>
      <c r="S47" s="128">
        <v>625407.2</v>
      </c>
      <c r="T47" s="128">
        <v>642540.6</v>
      </c>
    </row>
    <row r="48" spans="1:20" s="132" customFormat="1" ht="36" customHeight="1">
      <c r="A48" s="95" t="s">
        <v>195</v>
      </c>
      <c r="B48" s="9" t="s">
        <v>258</v>
      </c>
      <c r="C48" s="49">
        <f>C49</f>
        <v>133.9</v>
      </c>
      <c r="D48" s="49">
        <f>D49</f>
        <v>48.7</v>
      </c>
      <c r="E48" s="49">
        <f>E49</f>
        <v>48.7</v>
      </c>
      <c r="F48" s="49">
        <f>F49</f>
        <v>48.7</v>
      </c>
      <c r="G48" s="98">
        <f t="shared" si="0"/>
        <v>7.160791680659864E-05</v>
      </c>
      <c r="H48" s="98">
        <f t="shared" si="3"/>
        <v>0.3637042569081404</v>
      </c>
      <c r="I48" s="49">
        <f t="shared" si="4"/>
        <v>-85.2</v>
      </c>
      <c r="J48" s="98">
        <f t="shared" si="1"/>
        <v>7.786926661541473E-05</v>
      </c>
      <c r="K48" s="98">
        <f t="shared" si="5"/>
        <v>1</v>
      </c>
      <c r="L48" s="49">
        <f t="shared" si="6"/>
        <v>0</v>
      </c>
      <c r="M48" s="98">
        <f t="shared" si="2"/>
        <v>7.579287596768205E-05</v>
      </c>
      <c r="N48" s="98">
        <f t="shared" si="7"/>
        <v>1</v>
      </c>
      <c r="O48" s="49">
        <f t="shared" si="8"/>
        <v>0</v>
      </c>
      <c r="P48" s="131"/>
      <c r="Q48" s="131"/>
      <c r="R48" s="133">
        <v>680092.4</v>
      </c>
      <c r="S48" s="134">
        <v>625407.2</v>
      </c>
      <c r="T48" s="134">
        <v>642540.6</v>
      </c>
    </row>
    <row r="49" spans="1:20" ht="60" customHeight="1">
      <c r="A49" s="135"/>
      <c r="B49" s="48" t="s">
        <v>196</v>
      </c>
      <c r="C49" s="47">
        <v>133.9</v>
      </c>
      <c r="D49" s="47">
        <v>48.7</v>
      </c>
      <c r="E49" s="47">
        <v>48.7</v>
      </c>
      <c r="F49" s="47">
        <v>48.7</v>
      </c>
      <c r="G49" s="136">
        <f t="shared" si="0"/>
        <v>7.160791680659864E-05</v>
      </c>
      <c r="H49" s="136">
        <f t="shared" si="3"/>
        <v>0.3637042569081404</v>
      </c>
      <c r="I49" s="47">
        <f t="shared" si="4"/>
        <v>-85.2</v>
      </c>
      <c r="J49" s="136">
        <f t="shared" si="1"/>
        <v>7.786926661541473E-05</v>
      </c>
      <c r="K49" s="136">
        <f t="shared" si="5"/>
        <v>1</v>
      </c>
      <c r="L49" s="47">
        <f t="shared" si="6"/>
        <v>0</v>
      </c>
      <c r="M49" s="136">
        <f t="shared" si="2"/>
        <v>7.579287596768205E-05</v>
      </c>
      <c r="N49" s="136">
        <f t="shared" si="7"/>
        <v>1</v>
      </c>
      <c r="O49" s="47">
        <f t="shared" si="8"/>
        <v>0</v>
      </c>
      <c r="P49" s="137"/>
      <c r="Q49" s="137"/>
      <c r="R49" s="138">
        <v>680092.4</v>
      </c>
      <c r="S49" s="139">
        <v>625407.2</v>
      </c>
      <c r="T49" s="139">
        <v>642540.6</v>
      </c>
    </row>
    <row r="50" spans="1:20" s="132" customFormat="1" ht="29.25" customHeight="1">
      <c r="A50" s="95" t="s">
        <v>289</v>
      </c>
      <c r="B50" s="149" t="s">
        <v>290</v>
      </c>
      <c r="C50" s="49"/>
      <c r="D50" s="49">
        <f>D51</f>
        <v>700</v>
      </c>
      <c r="E50" s="49">
        <f>E51</f>
        <v>700</v>
      </c>
      <c r="F50" s="49">
        <f>F51</f>
        <v>500</v>
      </c>
      <c r="G50" s="98"/>
      <c r="H50" s="98"/>
      <c r="I50" s="49"/>
      <c r="J50" s="98"/>
      <c r="K50" s="98"/>
      <c r="L50" s="49"/>
      <c r="M50" s="98"/>
      <c r="N50" s="98"/>
      <c r="O50" s="49"/>
      <c r="P50" s="131"/>
      <c r="Q50" s="131"/>
      <c r="R50" s="133"/>
      <c r="S50" s="134"/>
      <c r="T50" s="134"/>
    </row>
    <row r="51" spans="1:20" ht="60" customHeight="1">
      <c r="A51" s="135"/>
      <c r="B51" s="150" t="s">
        <v>291</v>
      </c>
      <c r="C51" s="47"/>
      <c r="D51" s="47">
        <v>700</v>
      </c>
      <c r="E51" s="47">
        <v>700</v>
      </c>
      <c r="F51" s="47">
        <v>500</v>
      </c>
      <c r="G51" s="136"/>
      <c r="H51" s="136"/>
      <c r="I51" s="47"/>
      <c r="J51" s="136"/>
      <c r="K51" s="136"/>
      <c r="L51" s="47"/>
      <c r="M51" s="136"/>
      <c r="N51" s="136"/>
      <c r="O51" s="47"/>
      <c r="P51" s="137"/>
      <c r="Q51" s="137"/>
      <c r="R51" s="138"/>
      <c r="S51" s="139"/>
      <c r="T51" s="139"/>
    </row>
    <row r="52" spans="1:20" s="132" customFormat="1" ht="36.75" customHeight="1">
      <c r="A52" s="95" t="s">
        <v>94</v>
      </c>
      <c r="B52" s="72" t="s">
        <v>292</v>
      </c>
      <c r="C52" s="49">
        <f>SUM(C54:C63)</f>
        <v>23137.5</v>
      </c>
      <c r="D52" s="49">
        <f>SUM(D54:D63)</f>
        <v>28532.799999999996</v>
      </c>
      <c r="E52" s="49">
        <f>SUM(E54:E63)</f>
        <v>20134</v>
      </c>
      <c r="F52" s="49">
        <f>SUM(F54:F63)</f>
        <v>20751.600000000002</v>
      </c>
      <c r="G52" s="98">
        <f t="shared" si="0"/>
        <v>0.04195429915111534</v>
      </c>
      <c r="H52" s="98">
        <f t="shared" si="3"/>
        <v>1.2331842247433817</v>
      </c>
      <c r="I52" s="49">
        <f t="shared" si="4"/>
        <v>5395.299999999996</v>
      </c>
      <c r="J52" s="98">
        <f t="shared" si="1"/>
        <v>0.032193425339522797</v>
      </c>
      <c r="K52" s="98">
        <f t="shared" si="5"/>
        <v>0.7056440307295464</v>
      </c>
      <c r="L52" s="49">
        <f t="shared" si="6"/>
        <v>-8398.799999999996</v>
      </c>
      <c r="M52" s="98">
        <f t="shared" si="2"/>
        <v>0.0322961693004302</v>
      </c>
      <c r="N52" s="98">
        <f t="shared" si="7"/>
        <v>1.0306744809774513</v>
      </c>
      <c r="O52" s="49">
        <f t="shared" si="8"/>
        <v>617.6000000000022</v>
      </c>
      <c r="P52" s="131">
        <f t="shared" si="9"/>
        <v>4.638461475936176</v>
      </c>
      <c r="R52" s="133">
        <v>680092.4</v>
      </c>
      <c r="S52" s="134">
        <v>625407.2</v>
      </c>
      <c r="T52" s="134">
        <v>642540.6</v>
      </c>
    </row>
    <row r="53" spans="1:20" ht="40.5" customHeight="1">
      <c r="A53" s="135"/>
      <c r="B53" s="96" t="s">
        <v>84</v>
      </c>
      <c r="C53" s="47"/>
      <c r="D53" s="47"/>
      <c r="E53" s="47"/>
      <c r="F53" s="47"/>
      <c r="G53" s="136">
        <f t="shared" si="0"/>
        <v>0</v>
      </c>
      <c r="H53" s="136" t="e">
        <f t="shared" si="3"/>
        <v>#DIV/0!</v>
      </c>
      <c r="I53" s="47">
        <f t="shared" si="4"/>
        <v>0</v>
      </c>
      <c r="J53" s="136">
        <f t="shared" si="1"/>
        <v>0</v>
      </c>
      <c r="K53" s="136" t="e">
        <f t="shared" si="5"/>
        <v>#DIV/0!</v>
      </c>
      <c r="L53" s="47">
        <f t="shared" si="6"/>
        <v>0</v>
      </c>
      <c r="M53" s="136">
        <f t="shared" si="2"/>
        <v>0</v>
      </c>
      <c r="N53" s="136" t="e">
        <f t="shared" si="7"/>
        <v>#DIV/0!</v>
      </c>
      <c r="O53" s="47">
        <f t="shared" si="8"/>
        <v>0</v>
      </c>
      <c r="P53" s="137">
        <f t="shared" si="9"/>
        <v>0</v>
      </c>
      <c r="R53" s="138">
        <v>680092.4</v>
      </c>
      <c r="S53" s="139">
        <v>625407.2</v>
      </c>
      <c r="T53" s="139">
        <v>642540.6</v>
      </c>
    </row>
    <row r="54" spans="1:20" ht="24.75" customHeight="1">
      <c r="A54" s="135"/>
      <c r="B54" s="151" t="s">
        <v>293</v>
      </c>
      <c r="C54" s="47"/>
      <c r="D54" s="47">
        <v>100</v>
      </c>
      <c r="E54" s="47">
        <v>100</v>
      </c>
      <c r="F54" s="47">
        <v>50</v>
      </c>
      <c r="G54" s="136"/>
      <c r="H54" s="136"/>
      <c r="I54" s="47"/>
      <c r="J54" s="136"/>
      <c r="K54" s="136"/>
      <c r="L54" s="47"/>
      <c r="M54" s="136"/>
      <c r="N54" s="136"/>
      <c r="O54" s="47"/>
      <c r="P54" s="137"/>
      <c r="R54" s="138"/>
      <c r="S54" s="139"/>
      <c r="T54" s="139"/>
    </row>
    <row r="55" spans="1:20" ht="25.5" customHeight="1">
      <c r="A55" s="135"/>
      <c r="B55" s="151" t="s">
        <v>294</v>
      </c>
      <c r="C55" s="47"/>
      <c r="D55" s="47">
        <v>100</v>
      </c>
      <c r="E55" s="47">
        <v>100</v>
      </c>
      <c r="F55" s="47">
        <v>50</v>
      </c>
      <c r="G55" s="136"/>
      <c r="H55" s="136"/>
      <c r="I55" s="47"/>
      <c r="J55" s="136"/>
      <c r="K55" s="136"/>
      <c r="L55" s="47"/>
      <c r="M55" s="136"/>
      <c r="N55" s="136"/>
      <c r="O55" s="47"/>
      <c r="P55" s="137"/>
      <c r="R55" s="138"/>
      <c r="S55" s="139"/>
      <c r="T55" s="139"/>
    </row>
    <row r="56" spans="1:20" ht="40.5" customHeight="1" hidden="1">
      <c r="A56" s="135"/>
      <c r="B56" s="96" t="s">
        <v>187</v>
      </c>
      <c r="C56" s="47">
        <f>0</f>
        <v>0</v>
      </c>
      <c r="D56" s="47">
        <f>0</f>
        <v>0</v>
      </c>
      <c r="E56" s="47">
        <f>0</f>
        <v>0</v>
      </c>
      <c r="F56" s="47">
        <f>0</f>
        <v>0</v>
      </c>
      <c r="G56" s="136">
        <f t="shared" si="0"/>
        <v>0</v>
      </c>
      <c r="H56" s="136" t="e">
        <f t="shared" si="3"/>
        <v>#DIV/0!</v>
      </c>
      <c r="I56" s="47">
        <f t="shared" si="4"/>
        <v>0</v>
      </c>
      <c r="J56" s="136">
        <f t="shared" si="1"/>
        <v>0</v>
      </c>
      <c r="K56" s="136" t="e">
        <f t="shared" si="5"/>
        <v>#DIV/0!</v>
      </c>
      <c r="L56" s="47">
        <f t="shared" si="6"/>
        <v>0</v>
      </c>
      <c r="M56" s="136">
        <f t="shared" si="2"/>
        <v>0</v>
      </c>
      <c r="N56" s="136" t="e">
        <f t="shared" si="7"/>
        <v>#DIV/0!</v>
      </c>
      <c r="O56" s="47">
        <f t="shared" si="8"/>
        <v>0</v>
      </c>
      <c r="P56" s="137">
        <f t="shared" si="9"/>
        <v>0</v>
      </c>
      <c r="R56" s="138">
        <v>680092.4</v>
      </c>
      <c r="S56" s="139">
        <v>625407.2</v>
      </c>
      <c r="T56" s="139">
        <v>642540.6</v>
      </c>
    </row>
    <row r="57" spans="1:20" ht="77.25" customHeight="1">
      <c r="A57" s="135"/>
      <c r="B57" s="96" t="s">
        <v>295</v>
      </c>
      <c r="C57" s="47">
        <f>0</f>
        <v>0</v>
      </c>
      <c r="D57" s="47">
        <v>9091.5</v>
      </c>
      <c r="E57" s="47">
        <f>0</f>
        <v>0</v>
      </c>
      <c r="F57" s="47">
        <f>0</f>
        <v>0</v>
      </c>
      <c r="G57" s="136">
        <f t="shared" si="0"/>
        <v>0.013368036460927955</v>
      </c>
      <c r="H57" s="136" t="e">
        <f t="shared" si="3"/>
        <v>#DIV/0!</v>
      </c>
      <c r="I57" s="47">
        <f t="shared" si="4"/>
        <v>9091.5</v>
      </c>
      <c r="J57" s="136">
        <f t="shared" si="1"/>
        <v>0</v>
      </c>
      <c r="K57" s="136">
        <f t="shared" si="5"/>
        <v>0</v>
      </c>
      <c r="L57" s="47">
        <f t="shared" si="6"/>
        <v>-9091.5</v>
      </c>
      <c r="M57" s="136">
        <f t="shared" si="2"/>
        <v>0</v>
      </c>
      <c r="N57" s="136" t="e">
        <f t="shared" si="7"/>
        <v>#DIV/0!</v>
      </c>
      <c r="O57" s="47">
        <f t="shared" si="8"/>
        <v>0</v>
      </c>
      <c r="P57" s="137">
        <f t="shared" si="9"/>
        <v>1.4779682508717598</v>
      </c>
      <c r="R57" s="138">
        <v>680092.4</v>
      </c>
      <c r="S57" s="139">
        <v>625407.2</v>
      </c>
      <c r="T57" s="139">
        <v>642540.6</v>
      </c>
    </row>
    <row r="58" spans="1:20" ht="71.25" customHeight="1">
      <c r="A58" s="135"/>
      <c r="B58" s="48" t="s">
        <v>197</v>
      </c>
      <c r="C58" s="47">
        <v>0</v>
      </c>
      <c r="D58" s="47">
        <v>90.9</v>
      </c>
      <c r="E58" s="47">
        <f>0</f>
        <v>0</v>
      </c>
      <c r="F58" s="47">
        <f>0</f>
        <v>0</v>
      </c>
      <c r="G58" s="136">
        <f t="shared" si="0"/>
        <v>0.00013365830878274776</v>
      </c>
      <c r="H58" s="136" t="e">
        <f t="shared" si="3"/>
        <v>#DIV/0!</v>
      </c>
      <c r="I58" s="47">
        <f t="shared" si="4"/>
        <v>90.9</v>
      </c>
      <c r="J58" s="136">
        <f t="shared" si="1"/>
        <v>0</v>
      </c>
      <c r="K58" s="136">
        <f t="shared" si="5"/>
        <v>0</v>
      </c>
      <c r="L58" s="47">
        <f t="shared" si="6"/>
        <v>-90.9</v>
      </c>
      <c r="M58" s="136">
        <f t="shared" si="2"/>
        <v>0</v>
      </c>
      <c r="N58" s="136" t="e">
        <f t="shared" si="7"/>
        <v>#DIV/0!</v>
      </c>
      <c r="O58" s="47">
        <f t="shared" si="8"/>
        <v>0</v>
      </c>
      <c r="P58" s="137">
        <f t="shared" si="9"/>
        <v>0.014777244019605453</v>
      </c>
      <c r="R58" s="138">
        <v>680092.4</v>
      </c>
      <c r="S58" s="139">
        <v>625407.2</v>
      </c>
      <c r="T58" s="139">
        <v>642540.6</v>
      </c>
    </row>
    <row r="59" spans="1:20" ht="61.5" customHeight="1">
      <c r="A59" s="135"/>
      <c r="B59" s="151" t="s">
        <v>296</v>
      </c>
      <c r="C59" s="47">
        <f>23137.5</f>
        <v>23137.5</v>
      </c>
      <c r="D59" s="130">
        <f>(19241.3-90.9-500-489.4-1600-2000)</f>
        <v>14560.999999999996</v>
      </c>
      <c r="E59" s="130">
        <f>15344.6</f>
        <v>15344.6</v>
      </c>
      <c r="F59" s="130">
        <f>16062.2</f>
        <v>16062.2</v>
      </c>
      <c r="G59" s="136">
        <f t="shared" si="0"/>
        <v>0.021410326008642348</v>
      </c>
      <c r="H59" s="136">
        <f t="shared" si="3"/>
        <v>0.6293246893571041</v>
      </c>
      <c r="I59" s="47">
        <f t="shared" si="4"/>
        <v>-8576.500000000004</v>
      </c>
      <c r="J59" s="136">
        <f t="shared" si="1"/>
        <v>0.024535374712667205</v>
      </c>
      <c r="K59" s="136">
        <f t="shared" si="5"/>
        <v>1.0538149852345309</v>
      </c>
      <c r="L59" s="47">
        <f t="shared" si="6"/>
        <v>783.600000000004</v>
      </c>
      <c r="M59" s="136">
        <f t="shared" si="2"/>
        <v>0.024997953436716687</v>
      </c>
      <c r="N59" s="136">
        <f t="shared" si="7"/>
        <v>1.046765637422937</v>
      </c>
      <c r="O59" s="47">
        <f t="shared" si="8"/>
        <v>717.6000000000004</v>
      </c>
      <c r="P59" s="137">
        <f t="shared" si="9"/>
        <v>2.3671226641306373</v>
      </c>
      <c r="R59" s="138">
        <v>680092.4</v>
      </c>
      <c r="S59" s="139">
        <v>625407.2</v>
      </c>
      <c r="T59" s="139">
        <v>642540.6</v>
      </c>
    </row>
    <row r="60" spans="1:20" ht="46.5" customHeight="1">
      <c r="A60" s="6"/>
      <c r="B60" s="152" t="s">
        <v>297</v>
      </c>
      <c r="C60" s="10"/>
      <c r="D60" s="130">
        <f>2000</f>
        <v>2000</v>
      </c>
      <c r="E60" s="130">
        <f>2000</f>
        <v>2000</v>
      </c>
      <c r="F60" s="130">
        <f>2000</f>
        <v>2000</v>
      </c>
      <c r="G60" s="141">
        <f t="shared" si="0"/>
        <v>0.0029407768709075414</v>
      </c>
      <c r="H60" s="141" t="e">
        <f t="shared" si="3"/>
        <v>#DIV/0!</v>
      </c>
      <c r="I60" s="10">
        <f t="shared" si="4"/>
        <v>2000</v>
      </c>
      <c r="J60" s="141">
        <f t="shared" si="1"/>
        <v>0.00319791649344619</v>
      </c>
      <c r="K60" s="141">
        <f t="shared" si="5"/>
        <v>1</v>
      </c>
      <c r="L60" s="10">
        <f t="shared" si="6"/>
        <v>0</v>
      </c>
      <c r="M60" s="141">
        <f t="shared" si="2"/>
        <v>0.00311264377690686</v>
      </c>
      <c r="N60" s="141">
        <f t="shared" si="7"/>
        <v>1</v>
      </c>
      <c r="O60" s="10">
        <f t="shared" si="8"/>
        <v>0</v>
      </c>
      <c r="P60" s="142">
        <f t="shared" si="9"/>
        <v>0.3251318816194819</v>
      </c>
      <c r="R60" s="138">
        <v>680092.4</v>
      </c>
      <c r="S60" s="139">
        <v>625407.2</v>
      </c>
      <c r="T60" s="139">
        <v>642540.6</v>
      </c>
    </row>
    <row r="61" spans="1:20" ht="26.25" customHeight="1">
      <c r="A61" s="6"/>
      <c r="B61" s="151" t="s">
        <v>298</v>
      </c>
      <c r="C61" s="10"/>
      <c r="D61" s="130">
        <f>489.4</f>
        <v>489.4</v>
      </c>
      <c r="E61" s="130">
        <f>489.4</f>
        <v>489.4</v>
      </c>
      <c r="F61" s="130">
        <f>(0+489.4)</f>
        <v>489.4</v>
      </c>
      <c r="G61" s="141"/>
      <c r="H61" s="141"/>
      <c r="I61" s="10"/>
      <c r="J61" s="141"/>
      <c r="K61" s="141"/>
      <c r="L61" s="10"/>
      <c r="M61" s="141"/>
      <c r="N61" s="141"/>
      <c r="O61" s="10"/>
      <c r="P61" s="142"/>
      <c r="R61" s="138"/>
      <c r="S61" s="139"/>
      <c r="T61" s="139"/>
    </row>
    <row r="62" spans="1:20" ht="27.75" customHeight="1">
      <c r="A62" s="6"/>
      <c r="B62" s="151" t="s">
        <v>299</v>
      </c>
      <c r="C62" s="10"/>
      <c r="D62" s="130">
        <f>1600</f>
        <v>1600</v>
      </c>
      <c r="E62" s="130">
        <f>1600</f>
        <v>1600</v>
      </c>
      <c r="F62" s="130">
        <f>1600</f>
        <v>1600</v>
      </c>
      <c r="G62" s="141"/>
      <c r="H62" s="141"/>
      <c r="I62" s="10"/>
      <c r="J62" s="141"/>
      <c r="K62" s="141"/>
      <c r="L62" s="10"/>
      <c r="M62" s="141"/>
      <c r="N62" s="141"/>
      <c r="O62" s="10"/>
      <c r="P62" s="142"/>
      <c r="R62" s="138"/>
      <c r="S62" s="139"/>
      <c r="T62" s="139"/>
    </row>
    <row r="63" spans="1:20" ht="22.5" customHeight="1">
      <c r="A63" s="6"/>
      <c r="B63" s="153" t="s">
        <v>300</v>
      </c>
      <c r="C63" s="10"/>
      <c r="D63" s="130">
        <f>500</f>
        <v>500</v>
      </c>
      <c r="E63" s="130">
        <f>500</f>
        <v>500</v>
      </c>
      <c r="F63" s="130">
        <f>500</f>
        <v>500</v>
      </c>
      <c r="G63" s="141"/>
      <c r="H63" s="141"/>
      <c r="I63" s="10"/>
      <c r="J63" s="141"/>
      <c r="K63" s="141"/>
      <c r="L63" s="10"/>
      <c r="M63" s="141"/>
      <c r="N63" s="141"/>
      <c r="O63" s="10"/>
      <c r="P63" s="142"/>
      <c r="R63" s="138"/>
      <c r="S63" s="139"/>
      <c r="T63" s="139"/>
    </row>
    <row r="64" spans="1:20" ht="22.5" customHeight="1">
      <c r="A64" s="6"/>
      <c r="B64" s="93" t="s">
        <v>12</v>
      </c>
      <c r="C64" s="47">
        <v>9000</v>
      </c>
      <c r="D64" s="167"/>
      <c r="E64" s="167"/>
      <c r="F64" s="167"/>
      <c r="G64" s="141"/>
      <c r="H64" s="141"/>
      <c r="I64" s="10"/>
      <c r="J64" s="141"/>
      <c r="K64" s="141"/>
      <c r="L64" s="10"/>
      <c r="M64" s="141"/>
      <c r="N64" s="141"/>
      <c r="O64" s="10"/>
      <c r="P64" s="142"/>
      <c r="R64" s="138"/>
      <c r="S64" s="139"/>
      <c r="T64" s="139"/>
    </row>
    <row r="65" spans="1:20" s="132" customFormat="1" ht="28.5" customHeight="1">
      <c r="A65" s="95" t="s">
        <v>95</v>
      </c>
      <c r="B65" s="9" t="s">
        <v>301</v>
      </c>
      <c r="C65" s="49">
        <f>C66+C67+C68</f>
        <v>1715</v>
      </c>
      <c r="D65" s="49">
        <f>D66+D67+D68</f>
        <v>565</v>
      </c>
      <c r="E65" s="49">
        <f>E66+E67+E68</f>
        <v>215</v>
      </c>
      <c r="F65" s="49">
        <f>F66+F67+F68</f>
        <v>65</v>
      </c>
      <c r="G65" s="98">
        <f t="shared" si="0"/>
        <v>0.0008307694660313805</v>
      </c>
      <c r="H65" s="98">
        <f t="shared" si="3"/>
        <v>0.3294460641399417</v>
      </c>
      <c r="I65" s="49">
        <f t="shared" si="4"/>
        <v>-1150</v>
      </c>
      <c r="J65" s="98">
        <f t="shared" si="1"/>
        <v>0.00034377602304546545</v>
      </c>
      <c r="K65" s="98">
        <f t="shared" si="5"/>
        <v>0.3805309734513274</v>
      </c>
      <c r="L65" s="49">
        <f t="shared" si="6"/>
        <v>-350</v>
      </c>
      <c r="M65" s="98">
        <f t="shared" si="2"/>
        <v>0.00010116092274947296</v>
      </c>
      <c r="N65" s="98">
        <f t="shared" si="7"/>
        <v>0.3023255813953488</v>
      </c>
      <c r="O65" s="49">
        <f t="shared" si="8"/>
        <v>-150</v>
      </c>
      <c r="P65" s="131">
        <f t="shared" si="9"/>
        <v>0.09184975655750363</v>
      </c>
      <c r="R65" s="133">
        <v>680092.4</v>
      </c>
      <c r="S65" s="134">
        <v>625407.2</v>
      </c>
      <c r="T65" s="134">
        <v>642540.6</v>
      </c>
    </row>
    <row r="66" spans="1:20" ht="38.25" customHeight="1">
      <c r="A66" s="135"/>
      <c r="B66" s="48" t="s">
        <v>270</v>
      </c>
      <c r="C66" s="47">
        <v>200</v>
      </c>
      <c r="D66" s="47">
        <v>550</v>
      </c>
      <c r="E66" s="47">
        <v>200</v>
      </c>
      <c r="F66" s="47">
        <v>50</v>
      </c>
      <c r="G66" s="136">
        <f t="shared" si="0"/>
        <v>0.0008087136394995738</v>
      </c>
      <c r="H66" s="136">
        <f t="shared" si="3"/>
        <v>2.75</v>
      </c>
      <c r="I66" s="47">
        <f t="shared" si="4"/>
        <v>350</v>
      </c>
      <c r="J66" s="136">
        <f t="shared" si="1"/>
        <v>0.000319791649344619</v>
      </c>
      <c r="K66" s="136">
        <f t="shared" si="5"/>
        <v>0.36363636363636365</v>
      </c>
      <c r="L66" s="47">
        <f t="shared" si="6"/>
        <v>-350</v>
      </c>
      <c r="M66" s="136">
        <f t="shared" si="2"/>
        <v>7.78160944226715E-05</v>
      </c>
      <c r="N66" s="136">
        <f t="shared" si="7"/>
        <v>0.25</v>
      </c>
      <c r="O66" s="47">
        <f t="shared" si="8"/>
        <v>-150</v>
      </c>
      <c r="P66" s="137">
        <f t="shared" si="9"/>
        <v>0.08941126744535752</v>
      </c>
      <c r="R66" s="138">
        <v>680092.4</v>
      </c>
      <c r="S66" s="139">
        <v>625407.2</v>
      </c>
      <c r="T66" s="139">
        <v>642540.6</v>
      </c>
    </row>
    <row r="67" spans="1:20" ht="53.25" customHeight="1">
      <c r="A67" s="135"/>
      <c r="B67" s="154" t="s">
        <v>302</v>
      </c>
      <c r="C67" s="47"/>
      <c r="D67" s="47">
        <v>15</v>
      </c>
      <c r="E67" s="47">
        <v>15</v>
      </c>
      <c r="F67" s="47">
        <v>15</v>
      </c>
      <c r="G67" s="136">
        <f t="shared" si="0"/>
        <v>2.205582653180656E-05</v>
      </c>
      <c r="H67" s="136" t="e">
        <f t="shared" si="3"/>
        <v>#DIV/0!</v>
      </c>
      <c r="I67" s="47">
        <f t="shared" si="4"/>
        <v>15</v>
      </c>
      <c r="J67" s="136">
        <f t="shared" si="1"/>
        <v>2.3984373700846427E-05</v>
      </c>
      <c r="K67" s="136">
        <f t="shared" si="5"/>
        <v>1</v>
      </c>
      <c r="L67" s="47">
        <f t="shared" si="6"/>
        <v>0</v>
      </c>
      <c r="M67" s="136">
        <f t="shared" si="2"/>
        <v>2.3344828326801453E-05</v>
      </c>
      <c r="N67" s="136">
        <f t="shared" si="7"/>
        <v>1</v>
      </c>
      <c r="O67" s="47">
        <f t="shared" si="8"/>
        <v>0</v>
      </c>
      <c r="P67" s="137">
        <f t="shared" si="9"/>
        <v>0.0024384891121461143</v>
      </c>
      <c r="R67" s="138">
        <v>680092.4</v>
      </c>
      <c r="S67" s="139">
        <v>625407.2</v>
      </c>
      <c r="T67" s="139">
        <v>642540.6</v>
      </c>
    </row>
    <row r="68" spans="1:20" ht="123" customHeight="1">
      <c r="A68" s="135"/>
      <c r="B68" s="48" t="s">
        <v>259</v>
      </c>
      <c r="C68" s="47">
        <f>1500+15</f>
        <v>1515</v>
      </c>
      <c r="D68" s="47"/>
      <c r="E68" s="47"/>
      <c r="F68" s="47"/>
      <c r="G68" s="136">
        <f t="shared" si="0"/>
        <v>0</v>
      </c>
      <c r="H68" s="136">
        <f t="shared" si="3"/>
        <v>0</v>
      </c>
      <c r="I68" s="47">
        <f t="shared" si="4"/>
        <v>-1515</v>
      </c>
      <c r="J68" s="136">
        <f t="shared" si="1"/>
        <v>0</v>
      </c>
      <c r="K68" s="136" t="e">
        <f t="shared" si="5"/>
        <v>#DIV/0!</v>
      </c>
      <c r="L68" s="47">
        <f t="shared" si="6"/>
        <v>0</v>
      </c>
      <c r="M68" s="136">
        <f t="shared" si="2"/>
        <v>0</v>
      </c>
      <c r="N68" s="136" t="e">
        <f t="shared" si="7"/>
        <v>#DIV/0!</v>
      </c>
      <c r="O68" s="47">
        <f t="shared" si="8"/>
        <v>0</v>
      </c>
      <c r="P68" s="137">
        <f t="shared" si="9"/>
        <v>0</v>
      </c>
      <c r="R68" s="138">
        <v>680092.4</v>
      </c>
      <c r="S68" s="139">
        <v>625407.2</v>
      </c>
      <c r="T68" s="139">
        <v>642540.6</v>
      </c>
    </row>
    <row r="69" spans="1:20" s="129" customFormat="1" ht="32.25" customHeight="1">
      <c r="A69" s="50" t="s">
        <v>96</v>
      </c>
      <c r="B69" s="51" t="s">
        <v>97</v>
      </c>
      <c r="C69" s="46">
        <f>C70+C73+C78</f>
        <v>8900</v>
      </c>
      <c r="D69" s="46">
        <f>D70+D73+D78</f>
        <v>3600</v>
      </c>
      <c r="E69" s="46">
        <f>E70+E73+E78</f>
        <v>500</v>
      </c>
      <c r="F69" s="46">
        <f>F70+F73+F78</f>
        <v>170</v>
      </c>
      <c r="G69" s="125">
        <f t="shared" si="0"/>
        <v>0.005293398367633574</v>
      </c>
      <c r="H69" s="125">
        <f t="shared" si="3"/>
        <v>0.4044943820224719</v>
      </c>
      <c r="I69" s="46">
        <f t="shared" si="4"/>
        <v>-5300</v>
      </c>
      <c r="J69" s="125">
        <f t="shared" si="1"/>
        <v>0.0007994791233615475</v>
      </c>
      <c r="K69" s="125">
        <f t="shared" si="5"/>
        <v>0.1388888888888889</v>
      </c>
      <c r="L69" s="46">
        <f t="shared" si="6"/>
        <v>-3100</v>
      </c>
      <c r="M69" s="125">
        <f t="shared" si="2"/>
        <v>0.0002645747210370831</v>
      </c>
      <c r="N69" s="125">
        <f t="shared" si="7"/>
        <v>0.34</v>
      </c>
      <c r="O69" s="46">
        <f t="shared" si="8"/>
        <v>-330</v>
      </c>
      <c r="P69" s="126">
        <f t="shared" si="9"/>
        <v>0.5852373869150674</v>
      </c>
      <c r="Q69" s="126">
        <f>D69/C69*100</f>
        <v>40.44943820224719</v>
      </c>
      <c r="R69" s="127">
        <v>680092.4</v>
      </c>
      <c r="S69" s="128">
        <v>625407.2</v>
      </c>
      <c r="T69" s="128">
        <v>642540.6</v>
      </c>
    </row>
    <row r="70" spans="1:20" s="132" customFormat="1" ht="32.25" customHeight="1">
      <c r="A70" s="95" t="s">
        <v>98</v>
      </c>
      <c r="B70" s="9" t="s">
        <v>99</v>
      </c>
      <c r="C70" s="49">
        <f>C71+C72</f>
        <v>1800</v>
      </c>
      <c r="D70" s="49">
        <f>D71+D72</f>
        <v>3500</v>
      </c>
      <c r="E70" s="49">
        <f>E71+E72</f>
        <v>400</v>
      </c>
      <c r="F70" s="49">
        <f>F71+F72</f>
        <v>100</v>
      </c>
      <c r="G70" s="98">
        <f t="shared" si="0"/>
        <v>0.005146359524088197</v>
      </c>
      <c r="H70" s="98">
        <f t="shared" si="3"/>
        <v>1.9444444444444444</v>
      </c>
      <c r="I70" s="49">
        <f t="shared" si="4"/>
        <v>1700</v>
      </c>
      <c r="J70" s="98">
        <f t="shared" si="1"/>
        <v>0.000639583298689238</v>
      </c>
      <c r="K70" s="98">
        <f t="shared" si="5"/>
        <v>0.11428571428571428</v>
      </c>
      <c r="L70" s="49">
        <f t="shared" si="6"/>
        <v>-3100</v>
      </c>
      <c r="M70" s="98">
        <f t="shared" si="2"/>
        <v>0.000155632188845343</v>
      </c>
      <c r="N70" s="98">
        <f t="shared" si="7"/>
        <v>0.25</v>
      </c>
      <c r="O70" s="49">
        <f t="shared" si="8"/>
        <v>-300</v>
      </c>
      <c r="P70" s="131">
        <f t="shared" si="9"/>
        <v>0.5689807928340933</v>
      </c>
      <c r="R70" s="133">
        <v>680092.4</v>
      </c>
      <c r="S70" s="134">
        <v>625407.2</v>
      </c>
      <c r="T70" s="134">
        <v>642540.6</v>
      </c>
    </row>
    <row r="71" spans="1:20" ht="28.5" customHeight="1">
      <c r="A71" s="135"/>
      <c r="B71" s="48" t="s">
        <v>260</v>
      </c>
      <c r="C71" s="47">
        <f>1800</f>
        <v>1800</v>
      </c>
      <c r="D71" s="47">
        <v>2000</v>
      </c>
      <c r="E71" s="47">
        <v>400</v>
      </c>
      <c r="F71" s="47">
        <v>100</v>
      </c>
      <c r="G71" s="136">
        <f t="shared" si="0"/>
        <v>0.0029407768709075414</v>
      </c>
      <c r="H71" s="136">
        <f t="shared" si="3"/>
        <v>1.1111111111111112</v>
      </c>
      <c r="I71" s="47">
        <f t="shared" si="4"/>
        <v>200</v>
      </c>
      <c r="J71" s="136">
        <f t="shared" si="1"/>
        <v>0.000639583298689238</v>
      </c>
      <c r="K71" s="136">
        <f t="shared" si="5"/>
        <v>0.2</v>
      </c>
      <c r="L71" s="47">
        <f t="shared" si="6"/>
        <v>-1600</v>
      </c>
      <c r="M71" s="136">
        <f t="shared" si="2"/>
        <v>0.000155632188845343</v>
      </c>
      <c r="N71" s="136">
        <f t="shared" si="7"/>
        <v>0.25</v>
      </c>
      <c r="O71" s="47">
        <f t="shared" si="8"/>
        <v>-300</v>
      </c>
      <c r="P71" s="137">
        <f t="shared" si="9"/>
        <v>0.3251318816194819</v>
      </c>
      <c r="R71" s="138">
        <v>680092.4</v>
      </c>
      <c r="S71" s="139">
        <v>625407.2</v>
      </c>
      <c r="T71" s="139">
        <v>642540.6</v>
      </c>
    </row>
    <row r="72" spans="1:20" ht="18.75">
      <c r="A72" s="135"/>
      <c r="B72" s="155" t="s">
        <v>303</v>
      </c>
      <c r="C72" s="47"/>
      <c r="D72" s="47">
        <v>1500</v>
      </c>
      <c r="E72" s="47">
        <v>0</v>
      </c>
      <c r="F72" s="47">
        <v>0</v>
      </c>
      <c r="G72" s="136">
        <f t="shared" si="0"/>
        <v>0.002205582653180656</v>
      </c>
      <c r="H72" s="136" t="e">
        <f t="shared" si="3"/>
        <v>#DIV/0!</v>
      </c>
      <c r="I72" s="47">
        <f t="shared" si="4"/>
        <v>1500</v>
      </c>
      <c r="J72" s="136">
        <f t="shared" si="1"/>
        <v>0</v>
      </c>
      <c r="K72" s="136">
        <f t="shared" si="5"/>
        <v>0</v>
      </c>
      <c r="L72" s="47">
        <f t="shared" si="6"/>
        <v>-1500</v>
      </c>
      <c r="M72" s="136">
        <f t="shared" si="2"/>
        <v>0</v>
      </c>
      <c r="N72" s="136" t="e">
        <f t="shared" si="7"/>
        <v>#DIV/0!</v>
      </c>
      <c r="O72" s="47">
        <f t="shared" si="8"/>
        <v>0</v>
      </c>
      <c r="P72" s="137">
        <f t="shared" si="9"/>
        <v>0.24384891121461144</v>
      </c>
      <c r="R72" s="138">
        <v>680092.4</v>
      </c>
      <c r="S72" s="139">
        <v>625407.2</v>
      </c>
      <c r="T72" s="139">
        <v>642540.6</v>
      </c>
    </row>
    <row r="73" spans="1:20" s="132" customFormat="1" ht="23.25" customHeight="1">
      <c r="A73" s="95" t="s">
        <v>100</v>
      </c>
      <c r="B73" s="9" t="s">
        <v>261</v>
      </c>
      <c r="C73" s="49">
        <f>C74+C75</f>
        <v>7100</v>
      </c>
      <c r="D73" s="49">
        <f>D74+D75</f>
        <v>100</v>
      </c>
      <c r="E73" s="49">
        <f>E74+E75</f>
        <v>100</v>
      </c>
      <c r="F73" s="49">
        <f>F74+F75</f>
        <v>70</v>
      </c>
      <c r="G73" s="98">
        <f t="shared" si="0"/>
        <v>0.00014703884354537707</v>
      </c>
      <c r="H73" s="98">
        <f t="shared" si="3"/>
        <v>0.014084507042253521</v>
      </c>
      <c r="I73" s="49">
        <f t="shared" si="4"/>
        <v>-7000</v>
      </c>
      <c r="J73" s="98">
        <f t="shared" si="1"/>
        <v>0.0001598958246723095</v>
      </c>
      <c r="K73" s="98">
        <f t="shared" si="5"/>
        <v>1</v>
      </c>
      <c r="L73" s="49">
        <f t="shared" si="6"/>
        <v>0</v>
      </c>
      <c r="M73" s="98">
        <f t="shared" si="2"/>
        <v>0.0001089425321917401</v>
      </c>
      <c r="N73" s="98">
        <f t="shared" si="7"/>
        <v>0.7</v>
      </c>
      <c r="O73" s="49">
        <f t="shared" si="8"/>
        <v>-30</v>
      </c>
      <c r="P73" s="131">
        <f t="shared" si="9"/>
        <v>0.016256594080974095</v>
      </c>
      <c r="R73" s="133">
        <v>680092.4</v>
      </c>
      <c r="S73" s="134">
        <v>625407.2</v>
      </c>
      <c r="T73" s="134">
        <v>642540.6</v>
      </c>
    </row>
    <row r="74" spans="1:20" ht="51" customHeight="1">
      <c r="A74" s="135"/>
      <c r="B74" s="154" t="s">
        <v>304</v>
      </c>
      <c r="C74" s="47">
        <v>400</v>
      </c>
      <c r="D74" s="47">
        <v>100</v>
      </c>
      <c r="E74" s="47">
        <v>100</v>
      </c>
      <c r="F74" s="47">
        <v>70</v>
      </c>
      <c r="G74" s="136">
        <f t="shared" si="0"/>
        <v>0.00014703884354537707</v>
      </c>
      <c r="H74" s="136">
        <f t="shared" si="3"/>
        <v>0.25</v>
      </c>
      <c r="I74" s="47">
        <f t="shared" si="4"/>
        <v>-300</v>
      </c>
      <c r="J74" s="136">
        <f t="shared" si="1"/>
        <v>0.0001598958246723095</v>
      </c>
      <c r="K74" s="136">
        <f t="shared" si="5"/>
        <v>1</v>
      </c>
      <c r="L74" s="47">
        <f t="shared" si="6"/>
        <v>0</v>
      </c>
      <c r="M74" s="136">
        <f t="shared" si="2"/>
        <v>0.0001089425321917401</v>
      </c>
      <c r="N74" s="136">
        <f t="shared" si="7"/>
        <v>0.7</v>
      </c>
      <c r="O74" s="47">
        <f t="shared" si="8"/>
        <v>-30</v>
      </c>
      <c r="P74" s="137">
        <f t="shared" si="9"/>
        <v>0.016256594080974095</v>
      </c>
      <c r="R74" s="138">
        <v>680092.4</v>
      </c>
      <c r="S74" s="139">
        <v>625407.2</v>
      </c>
      <c r="T74" s="139">
        <v>642540.6</v>
      </c>
    </row>
    <row r="75" spans="1:20" ht="114" customHeight="1">
      <c r="A75" s="135"/>
      <c r="B75" s="48" t="s">
        <v>262</v>
      </c>
      <c r="C75" s="47">
        <v>6700</v>
      </c>
      <c r="D75" s="47">
        <v>0</v>
      </c>
      <c r="E75" s="47">
        <v>0</v>
      </c>
      <c r="F75" s="47">
        <v>0</v>
      </c>
      <c r="G75" s="136">
        <f t="shared" si="0"/>
        <v>0</v>
      </c>
      <c r="H75" s="136">
        <f t="shared" si="3"/>
        <v>0</v>
      </c>
      <c r="I75" s="47">
        <f t="shared" si="4"/>
        <v>-6700</v>
      </c>
      <c r="J75" s="136">
        <f t="shared" si="1"/>
        <v>0</v>
      </c>
      <c r="K75" s="136" t="e">
        <f t="shared" si="5"/>
        <v>#DIV/0!</v>
      </c>
      <c r="L75" s="47">
        <f t="shared" si="6"/>
        <v>0</v>
      </c>
      <c r="M75" s="136">
        <f t="shared" si="2"/>
        <v>0</v>
      </c>
      <c r="N75" s="136" t="e">
        <f t="shared" si="7"/>
        <v>#DIV/0!</v>
      </c>
      <c r="O75" s="47">
        <f t="shared" si="8"/>
        <v>0</v>
      </c>
      <c r="P75" s="137">
        <f t="shared" si="9"/>
        <v>0</v>
      </c>
      <c r="R75" s="138">
        <v>680092.4</v>
      </c>
      <c r="S75" s="139">
        <v>625407.2</v>
      </c>
      <c r="T75" s="139">
        <v>642540.6</v>
      </c>
    </row>
    <row r="76" spans="1:20" ht="40.5" customHeight="1" hidden="1">
      <c r="A76" s="135"/>
      <c r="B76" s="48" t="s">
        <v>101</v>
      </c>
      <c r="C76" s="47">
        <v>0</v>
      </c>
      <c r="D76" s="47">
        <v>0</v>
      </c>
      <c r="E76" s="47">
        <v>0</v>
      </c>
      <c r="F76" s="47">
        <v>0</v>
      </c>
      <c r="G76" s="136">
        <f t="shared" si="0"/>
        <v>0</v>
      </c>
      <c r="H76" s="136" t="e">
        <f t="shared" si="3"/>
        <v>#DIV/0!</v>
      </c>
      <c r="I76" s="47">
        <f t="shared" si="4"/>
        <v>0</v>
      </c>
      <c r="J76" s="136">
        <f t="shared" si="1"/>
        <v>0</v>
      </c>
      <c r="K76" s="136" t="e">
        <f t="shared" si="5"/>
        <v>#DIV/0!</v>
      </c>
      <c r="L76" s="47">
        <f t="shared" si="6"/>
        <v>0</v>
      </c>
      <c r="M76" s="136">
        <f t="shared" si="2"/>
        <v>0</v>
      </c>
      <c r="N76" s="136" t="e">
        <f t="shared" si="7"/>
        <v>#DIV/0!</v>
      </c>
      <c r="O76" s="47">
        <f t="shared" si="8"/>
        <v>0</v>
      </c>
      <c r="P76" s="137">
        <f t="shared" si="9"/>
        <v>0</v>
      </c>
      <c r="R76" s="138">
        <v>680092.4</v>
      </c>
      <c r="S76" s="139">
        <v>625407.2</v>
      </c>
      <c r="T76" s="139">
        <v>642540.6</v>
      </c>
    </row>
    <row r="77" spans="1:20" ht="69.75" customHeight="1">
      <c r="A77" s="135"/>
      <c r="B77" s="48" t="s">
        <v>102</v>
      </c>
      <c r="C77" s="47">
        <v>6700</v>
      </c>
      <c r="D77" s="47">
        <v>0</v>
      </c>
      <c r="E77" s="47">
        <v>0</v>
      </c>
      <c r="F77" s="47">
        <v>0</v>
      </c>
      <c r="G77" s="136">
        <f t="shared" si="0"/>
        <v>0</v>
      </c>
      <c r="H77" s="136">
        <f t="shared" si="3"/>
        <v>0</v>
      </c>
      <c r="I77" s="47">
        <f t="shared" si="4"/>
        <v>-6700</v>
      </c>
      <c r="J77" s="136">
        <f t="shared" si="1"/>
        <v>0</v>
      </c>
      <c r="K77" s="136" t="e">
        <f t="shared" si="5"/>
        <v>#DIV/0!</v>
      </c>
      <c r="L77" s="47">
        <f t="shared" si="6"/>
        <v>0</v>
      </c>
      <c r="M77" s="136">
        <f t="shared" si="2"/>
        <v>0</v>
      </c>
      <c r="N77" s="136" t="e">
        <f t="shared" si="7"/>
        <v>#DIV/0!</v>
      </c>
      <c r="O77" s="47">
        <f t="shared" si="8"/>
        <v>0</v>
      </c>
      <c r="P77" s="137">
        <f t="shared" si="9"/>
        <v>0</v>
      </c>
      <c r="R77" s="138">
        <v>680092.4</v>
      </c>
      <c r="S77" s="139">
        <v>625407.2</v>
      </c>
      <c r="T77" s="139">
        <v>642540.6</v>
      </c>
    </row>
    <row r="78" spans="1:20" ht="40.5" customHeight="1" hidden="1">
      <c r="A78" s="6" t="s">
        <v>103</v>
      </c>
      <c r="B78" s="7" t="s">
        <v>104</v>
      </c>
      <c r="C78" s="10">
        <f>C79+C80+C81+C82+C83+C84</f>
        <v>0</v>
      </c>
      <c r="D78" s="10">
        <f>D79+D80+D81+D82+D83+D84</f>
        <v>0</v>
      </c>
      <c r="E78" s="10">
        <f>E79+E80+E81+E82+E83+E84</f>
        <v>0</v>
      </c>
      <c r="F78" s="10">
        <f>F79+F80+F81+F82+F83+F84</f>
        <v>0</v>
      </c>
      <c r="G78" s="141">
        <f t="shared" si="0"/>
        <v>0</v>
      </c>
      <c r="H78" s="141" t="e">
        <f t="shared" si="3"/>
        <v>#DIV/0!</v>
      </c>
      <c r="I78" s="10">
        <f t="shared" si="4"/>
        <v>0</v>
      </c>
      <c r="J78" s="141">
        <f t="shared" si="1"/>
        <v>0</v>
      </c>
      <c r="K78" s="141" t="e">
        <f t="shared" si="5"/>
        <v>#DIV/0!</v>
      </c>
      <c r="L78" s="10">
        <f t="shared" si="6"/>
        <v>0</v>
      </c>
      <c r="M78" s="141">
        <f t="shared" si="2"/>
        <v>0</v>
      </c>
      <c r="N78" s="141" t="e">
        <f t="shared" si="7"/>
        <v>#DIV/0!</v>
      </c>
      <c r="O78" s="10">
        <f t="shared" si="8"/>
        <v>0</v>
      </c>
      <c r="P78" s="142">
        <f t="shared" si="9"/>
        <v>0</v>
      </c>
      <c r="R78" s="138">
        <v>680092.4</v>
      </c>
      <c r="S78" s="139">
        <v>625407.2</v>
      </c>
      <c r="T78" s="139">
        <v>642540.6</v>
      </c>
    </row>
    <row r="79" spans="1:20" ht="40.5" customHeight="1" hidden="1">
      <c r="A79" s="6"/>
      <c r="B79" s="7" t="s">
        <v>105</v>
      </c>
      <c r="C79" s="10">
        <v>0</v>
      </c>
      <c r="D79" s="10">
        <v>0</v>
      </c>
      <c r="E79" s="10">
        <v>0</v>
      </c>
      <c r="F79" s="10">
        <v>0</v>
      </c>
      <c r="G79" s="141">
        <f aca="true" t="shared" si="10" ref="G79:G143">D79/R79</f>
        <v>0</v>
      </c>
      <c r="H79" s="141" t="e">
        <f t="shared" si="3"/>
        <v>#DIV/0!</v>
      </c>
      <c r="I79" s="10">
        <f t="shared" si="4"/>
        <v>0</v>
      </c>
      <c r="J79" s="141">
        <f aca="true" t="shared" si="11" ref="J79:J143">E79/S79</f>
        <v>0</v>
      </c>
      <c r="K79" s="141" t="e">
        <f t="shared" si="5"/>
        <v>#DIV/0!</v>
      </c>
      <c r="L79" s="10">
        <f t="shared" si="6"/>
        <v>0</v>
      </c>
      <c r="M79" s="141">
        <f aca="true" t="shared" si="12" ref="M79:M143">F79/T79</f>
        <v>0</v>
      </c>
      <c r="N79" s="141" t="e">
        <f t="shared" si="7"/>
        <v>#DIV/0!</v>
      </c>
      <c r="O79" s="10">
        <f t="shared" si="8"/>
        <v>0</v>
      </c>
      <c r="P79" s="142">
        <f t="shared" si="9"/>
        <v>0</v>
      </c>
      <c r="R79" s="138">
        <v>680092.4</v>
      </c>
      <c r="S79" s="139">
        <v>625407.2</v>
      </c>
      <c r="T79" s="139">
        <v>642540.6</v>
      </c>
    </row>
    <row r="80" spans="1:20" ht="18.75" hidden="1">
      <c r="A80" s="6"/>
      <c r="B80" s="7" t="s">
        <v>106</v>
      </c>
      <c r="C80" s="10"/>
      <c r="D80" s="10"/>
      <c r="E80" s="10"/>
      <c r="F80" s="10"/>
      <c r="G80" s="141">
        <f t="shared" si="10"/>
        <v>0</v>
      </c>
      <c r="H80" s="141" t="e">
        <f t="shared" si="3"/>
        <v>#DIV/0!</v>
      </c>
      <c r="I80" s="10">
        <f t="shared" si="4"/>
        <v>0</v>
      </c>
      <c r="J80" s="141">
        <f t="shared" si="11"/>
        <v>0</v>
      </c>
      <c r="K80" s="141" t="e">
        <f t="shared" si="5"/>
        <v>#DIV/0!</v>
      </c>
      <c r="L80" s="10">
        <f t="shared" si="6"/>
        <v>0</v>
      </c>
      <c r="M80" s="141">
        <f t="shared" si="12"/>
        <v>0</v>
      </c>
      <c r="N80" s="141" t="e">
        <f t="shared" si="7"/>
        <v>#DIV/0!</v>
      </c>
      <c r="O80" s="10">
        <f t="shared" si="8"/>
        <v>0</v>
      </c>
      <c r="P80" s="142">
        <f t="shared" si="9"/>
        <v>0</v>
      </c>
      <c r="R80" s="138">
        <v>680092.4</v>
      </c>
      <c r="S80" s="139">
        <v>625407.2</v>
      </c>
      <c r="T80" s="139">
        <v>642540.6</v>
      </c>
    </row>
    <row r="81" spans="1:20" ht="18.75" hidden="1">
      <c r="A81" s="6"/>
      <c r="B81" s="7" t="s">
        <v>107</v>
      </c>
      <c r="C81" s="10"/>
      <c r="D81" s="10"/>
      <c r="E81" s="10"/>
      <c r="F81" s="10"/>
      <c r="G81" s="141">
        <f t="shared" si="10"/>
        <v>0</v>
      </c>
      <c r="H81" s="141" t="e">
        <f t="shared" si="3"/>
        <v>#DIV/0!</v>
      </c>
      <c r="I81" s="10">
        <f t="shared" si="4"/>
        <v>0</v>
      </c>
      <c r="J81" s="141">
        <f t="shared" si="11"/>
        <v>0</v>
      </c>
      <c r="K81" s="141" t="e">
        <f t="shared" si="5"/>
        <v>#DIV/0!</v>
      </c>
      <c r="L81" s="10">
        <f t="shared" si="6"/>
        <v>0</v>
      </c>
      <c r="M81" s="141">
        <f t="shared" si="12"/>
        <v>0</v>
      </c>
      <c r="N81" s="141" t="e">
        <f t="shared" si="7"/>
        <v>#DIV/0!</v>
      </c>
      <c r="O81" s="10">
        <f t="shared" si="8"/>
        <v>0</v>
      </c>
      <c r="P81" s="142">
        <f t="shared" si="9"/>
        <v>0</v>
      </c>
      <c r="R81" s="138">
        <v>680092.4</v>
      </c>
      <c r="S81" s="139">
        <v>625407.2</v>
      </c>
      <c r="T81" s="139">
        <v>642540.6</v>
      </c>
    </row>
    <row r="82" spans="1:20" ht="18.75" hidden="1">
      <c r="A82" s="6"/>
      <c r="B82" s="7" t="s">
        <v>108</v>
      </c>
      <c r="C82" s="10"/>
      <c r="D82" s="10"/>
      <c r="E82" s="10"/>
      <c r="F82" s="10"/>
      <c r="G82" s="141">
        <f t="shared" si="10"/>
        <v>0</v>
      </c>
      <c r="H82" s="141" t="e">
        <f aca="true" t="shared" si="13" ref="H82:H150">D82/C82</f>
        <v>#DIV/0!</v>
      </c>
      <c r="I82" s="10">
        <f aca="true" t="shared" si="14" ref="I82:I150">D82-C82</f>
        <v>0</v>
      </c>
      <c r="J82" s="141">
        <f t="shared" si="11"/>
        <v>0</v>
      </c>
      <c r="K82" s="141" t="e">
        <f aca="true" t="shared" si="15" ref="K82:K150">E82/D82</f>
        <v>#DIV/0!</v>
      </c>
      <c r="L82" s="10">
        <f aca="true" t="shared" si="16" ref="L82:L150">E82-D82</f>
        <v>0</v>
      </c>
      <c r="M82" s="141">
        <f t="shared" si="12"/>
        <v>0</v>
      </c>
      <c r="N82" s="141" t="e">
        <f aca="true" t="shared" si="17" ref="N82:N150">F82/E82</f>
        <v>#DIV/0!</v>
      </c>
      <c r="O82" s="10">
        <f aca="true" t="shared" si="18" ref="O82:O150">F82-E82</f>
        <v>0</v>
      </c>
      <c r="P82" s="142">
        <f t="shared" si="9"/>
        <v>0</v>
      </c>
      <c r="R82" s="138">
        <v>680092.4</v>
      </c>
      <c r="S82" s="139">
        <v>625407.2</v>
      </c>
      <c r="T82" s="139">
        <v>642540.6</v>
      </c>
    </row>
    <row r="83" spans="1:20" ht="40.5" customHeight="1" hidden="1">
      <c r="A83" s="6"/>
      <c r="B83" s="7" t="s">
        <v>109</v>
      </c>
      <c r="C83" s="10">
        <v>0</v>
      </c>
      <c r="D83" s="10">
        <v>0</v>
      </c>
      <c r="E83" s="10">
        <v>0</v>
      </c>
      <c r="F83" s="10">
        <v>0</v>
      </c>
      <c r="G83" s="141">
        <f t="shared" si="10"/>
        <v>0</v>
      </c>
      <c r="H83" s="141" t="e">
        <f t="shared" si="13"/>
        <v>#DIV/0!</v>
      </c>
      <c r="I83" s="10">
        <f t="shared" si="14"/>
        <v>0</v>
      </c>
      <c r="J83" s="141">
        <f t="shared" si="11"/>
        <v>0</v>
      </c>
      <c r="K83" s="141" t="e">
        <f t="shared" si="15"/>
        <v>#DIV/0!</v>
      </c>
      <c r="L83" s="10">
        <f t="shared" si="16"/>
        <v>0</v>
      </c>
      <c r="M83" s="141">
        <f t="shared" si="12"/>
        <v>0</v>
      </c>
      <c r="N83" s="141" t="e">
        <f t="shared" si="17"/>
        <v>#DIV/0!</v>
      </c>
      <c r="O83" s="10">
        <f t="shared" si="18"/>
        <v>0</v>
      </c>
      <c r="P83" s="142">
        <f t="shared" si="9"/>
        <v>0</v>
      </c>
      <c r="R83" s="138">
        <v>680092.4</v>
      </c>
      <c r="S83" s="139">
        <v>625407.2</v>
      </c>
      <c r="T83" s="139">
        <v>642540.6</v>
      </c>
    </row>
    <row r="84" spans="1:20" ht="40.5" customHeight="1" hidden="1">
      <c r="A84" s="6"/>
      <c r="B84" s="7" t="s">
        <v>110</v>
      </c>
      <c r="C84" s="10">
        <v>0</v>
      </c>
      <c r="D84" s="10">
        <v>0</v>
      </c>
      <c r="E84" s="10">
        <v>0</v>
      </c>
      <c r="F84" s="10">
        <v>0</v>
      </c>
      <c r="G84" s="141">
        <f t="shared" si="10"/>
        <v>0</v>
      </c>
      <c r="H84" s="141" t="e">
        <f t="shared" si="13"/>
        <v>#DIV/0!</v>
      </c>
      <c r="I84" s="10">
        <f t="shared" si="14"/>
        <v>0</v>
      </c>
      <c r="J84" s="141">
        <f t="shared" si="11"/>
        <v>0</v>
      </c>
      <c r="K84" s="141" t="e">
        <f t="shared" si="15"/>
        <v>#DIV/0!</v>
      </c>
      <c r="L84" s="10">
        <f t="shared" si="16"/>
        <v>0</v>
      </c>
      <c r="M84" s="141">
        <f t="shared" si="12"/>
        <v>0</v>
      </c>
      <c r="N84" s="141" t="e">
        <f t="shared" si="17"/>
        <v>#DIV/0!</v>
      </c>
      <c r="O84" s="10">
        <f t="shared" si="18"/>
        <v>0</v>
      </c>
      <c r="P84" s="142">
        <f aca="true" t="shared" si="19" ref="P84:P152">D84/615135*100</f>
        <v>0</v>
      </c>
      <c r="R84" s="138">
        <v>680092.4</v>
      </c>
      <c r="S84" s="139">
        <v>625407.2</v>
      </c>
      <c r="T84" s="139">
        <v>642540.6</v>
      </c>
    </row>
    <row r="85" spans="1:20" ht="40.5" customHeight="1" hidden="1">
      <c r="A85" s="6" t="s">
        <v>111</v>
      </c>
      <c r="B85" s="7" t="s">
        <v>112</v>
      </c>
      <c r="C85" s="10"/>
      <c r="D85" s="10"/>
      <c r="E85" s="10"/>
      <c r="F85" s="10"/>
      <c r="G85" s="141">
        <f t="shared" si="10"/>
        <v>0</v>
      </c>
      <c r="H85" s="141" t="e">
        <f t="shared" si="13"/>
        <v>#DIV/0!</v>
      </c>
      <c r="I85" s="10">
        <f t="shared" si="14"/>
        <v>0</v>
      </c>
      <c r="J85" s="141">
        <f t="shared" si="11"/>
        <v>0</v>
      </c>
      <c r="K85" s="141" t="e">
        <f t="shared" si="15"/>
        <v>#DIV/0!</v>
      </c>
      <c r="L85" s="10">
        <f t="shared" si="16"/>
        <v>0</v>
      </c>
      <c r="M85" s="141">
        <f t="shared" si="12"/>
        <v>0</v>
      </c>
      <c r="N85" s="141" t="e">
        <f t="shared" si="17"/>
        <v>#DIV/0!</v>
      </c>
      <c r="O85" s="10">
        <f t="shared" si="18"/>
        <v>0</v>
      </c>
      <c r="P85" s="142">
        <f t="shared" si="19"/>
        <v>0</v>
      </c>
      <c r="R85" s="138">
        <v>680092.4</v>
      </c>
      <c r="S85" s="139">
        <v>625407.2</v>
      </c>
      <c r="T85" s="139">
        <v>642540.6</v>
      </c>
    </row>
    <row r="86" spans="1:20" ht="40.5" customHeight="1" hidden="1">
      <c r="A86" s="6" t="s">
        <v>113</v>
      </c>
      <c r="B86" s="7" t="s">
        <v>114</v>
      </c>
      <c r="C86" s="10"/>
      <c r="D86" s="10"/>
      <c r="E86" s="10"/>
      <c r="F86" s="10"/>
      <c r="G86" s="141">
        <f t="shared" si="10"/>
        <v>0</v>
      </c>
      <c r="H86" s="141" t="e">
        <f t="shared" si="13"/>
        <v>#DIV/0!</v>
      </c>
      <c r="I86" s="10">
        <f t="shared" si="14"/>
        <v>0</v>
      </c>
      <c r="J86" s="141">
        <f t="shared" si="11"/>
        <v>0</v>
      </c>
      <c r="K86" s="141" t="e">
        <f t="shared" si="15"/>
        <v>#DIV/0!</v>
      </c>
      <c r="L86" s="10">
        <f t="shared" si="16"/>
        <v>0</v>
      </c>
      <c r="M86" s="141">
        <f t="shared" si="12"/>
        <v>0</v>
      </c>
      <c r="N86" s="141" t="e">
        <f t="shared" si="17"/>
        <v>#DIV/0!</v>
      </c>
      <c r="O86" s="10">
        <f t="shared" si="18"/>
        <v>0</v>
      </c>
      <c r="P86" s="142">
        <f t="shared" si="19"/>
        <v>0</v>
      </c>
      <c r="R86" s="138">
        <v>680092.4</v>
      </c>
      <c r="S86" s="139">
        <v>625407.2</v>
      </c>
      <c r="T86" s="139">
        <v>642540.6</v>
      </c>
    </row>
    <row r="87" spans="1:20" s="129" customFormat="1" ht="35.25" customHeight="1">
      <c r="A87" s="50" t="s">
        <v>115</v>
      </c>
      <c r="B87" s="51" t="s">
        <v>217</v>
      </c>
      <c r="C87" s="46">
        <f>C92+C93+C98+C106+C110+C118</f>
        <v>468051.9</v>
      </c>
      <c r="D87" s="46">
        <f>D92+D93+D98+D106+D110+D118</f>
        <v>506465.2</v>
      </c>
      <c r="E87" s="46">
        <f>E92+E93+E98+E106+E110+E118</f>
        <v>492785.89499999996</v>
      </c>
      <c r="F87" s="46">
        <f>F92+F93+F98+F106+F110+F118</f>
        <v>513331.107475</v>
      </c>
      <c r="G87" s="125">
        <f t="shared" si="10"/>
        <v>0.7447005730397811</v>
      </c>
      <c r="H87" s="125">
        <f t="shared" si="13"/>
        <v>1.0820705994356608</v>
      </c>
      <c r="I87" s="46">
        <f t="shared" si="14"/>
        <v>38413.29999999999</v>
      </c>
      <c r="J87" s="125">
        <f t="shared" si="11"/>
        <v>0.7879440706790711</v>
      </c>
      <c r="K87" s="125">
        <f t="shared" si="15"/>
        <v>0.9729906319328553</v>
      </c>
      <c r="L87" s="46">
        <f t="shared" si="16"/>
        <v>-13679.305000000051</v>
      </c>
      <c r="M87" s="125">
        <f t="shared" si="12"/>
        <v>0.7989084385873827</v>
      </c>
      <c r="N87" s="125">
        <f t="shared" si="17"/>
        <v>1.0416919653818422</v>
      </c>
      <c r="O87" s="46">
        <f t="shared" si="18"/>
        <v>20545.212475000066</v>
      </c>
      <c r="P87" s="126">
        <f t="shared" si="19"/>
        <v>82.33399172539362</v>
      </c>
      <c r="Q87" s="126">
        <f>D87/C87*100</f>
        <v>108.20705994356608</v>
      </c>
      <c r="R87" s="127">
        <v>680092.4</v>
      </c>
      <c r="S87" s="128">
        <v>625407.2</v>
      </c>
      <c r="T87" s="128">
        <v>642540.6</v>
      </c>
    </row>
    <row r="88" spans="1:20" s="60" customFormat="1" ht="40.5" customHeight="1" hidden="1">
      <c r="A88" s="6"/>
      <c r="B88" s="7" t="s">
        <v>116</v>
      </c>
      <c r="C88" s="10"/>
      <c r="D88" s="10"/>
      <c r="E88" s="10"/>
      <c r="F88" s="10"/>
      <c r="G88" s="141">
        <f t="shared" si="10"/>
        <v>0</v>
      </c>
      <c r="H88" s="141" t="e">
        <f t="shared" si="13"/>
        <v>#DIV/0!</v>
      </c>
      <c r="I88" s="10">
        <f t="shared" si="14"/>
        <v>0</v>
      </c>
      <c r="J88" s="141">
        <f t="shared" si="11"/>
        <v>0</v>
      </c>
      <c r="K88" s="141" t="e">
        <f t="shared" si="15"/>
        <v>#DIV/0!</v>
      </c>
      <c r="L88" s="10">
        <f t="shared" si="16"/>
        <v>0</v>
      </c>
      <c r="M88" s="141">
        <f t="shared" si="12"/>
        <v>0</v>
      </c>
      <c r="N88" s="141" t="e">
        <f t="shared" si="17"/>
        <v>#DIV/0!</v>
      </c>
      <c r="O88" s="10">
        <f t="shared" si="18"/>
        <v>0</v>
      </c>
      <c r="P88" s="142">
        <f t="shared" si="19"/>
        <v>0</v>
      </c>
      <c r="R88" s="138">
        <v>680092.4</v>
      </c>
      <c r="S88" s="139">
        <v>625407.2</v>
      </c>
      <c r="T88" s="139">
        <v>642540.6</v>
      </c>
    </row>
    <row r="89" spans="1:20" s="60" customFormat="1" ht="40.5" customHeight="1" hidden="1">
      <c r="A89" s="6"/>
      <c r="B89" s="7" t="s">
        <v>117</v>
      </c>
      <c r="C89" s="10"/>
      <c r="D89" s="10"/>
      <c r="E89" s="10"/>
      <c r="F89" s="10"/>
      <c r="G89" s="141">
        <f t="shared" si="10"/>
        <v>0</v>
      </c>
      <c r="H89" s="141" t="e">
        <f t="shared" si="13"/>
        <v>#DIV/0!</v>
      </c>
      <c r="I89" s="10">
        <f t="shared" si="14"/>
        <v>0</v>
      </c>
      <c r="J89" s="141">
        <f t="shared" si="11"/>
        <v>0</v>
      </c>
      <c r="K89" s="141" t="e">
        <f t="shared" si="15"/>
        <v>#DIV/0!</v>
      </c>
      <c r="L89" s="10">
        <f t="shared" si="16"/>
        <v>0</v>
      </c>
      <c r="M89" s="141">
        <f t="shared" si="12"/>
        <v>0</v>
      </c>
      <c r="N89" s="141" t="e">
        <f t="shared" si="17"/>
        <v>#DIV/0!</v>
      </c>
      <c r="O89" s="10">
        <f t="shared" si="18"/>
        <v>0</v>
      </c>
      <c r="P89" s="142">
        <f t="shared" si="19"/>
        <v>0</v>
      </c>
      <c r="R89" s="138">
        <v>680092.4</v>
      </c>
      <c r="S89" s="139">
        <v>625407.2</v>
      </c>
      <c r="T89" s="139">
        <v>642540.6</v>
      </c>
    </row>
    <row r="90" spans="1:20" s="60" customFormat="1" ht="40.5" customHeight="1" hidden="1">
      <c r="A90" s="6"/>
      <c r="B90" s="7" t="s">
        <v>118</v>
      </c>
      <c r="C90" s="10"/>
      <c r="D90" s="10"/>
      <c r="E90" s="10"/>
      <c r="F90" s="10"/>
      <c r="G90" s="141">
        <f t="shared" si="10"/>
        <v>0</v>
      </c>
      <c r="H90" s="141" t="e">
        <f t="shared" si="13"/>
        <v>#DIV/0!</v>
      </c>
      <c r="I90" s="10">
        <f t="shared" si="14"/>
        <v>0</v>
      </c>
      <c r="J90" s="141">
        <f t="shared" si="11"/>
        <v>0</v>
      </c>
      <c r="K90" s="141" t="e">
        <f t="shared" si="15"/>
        <v>#DIV/0!</v>
      </c>
      <c r="L90" s="10">
        <f t="shared" si="16"/>
        <v>0</v>
      </c>
      <c r="M90" s="141">
        <f t="shared" si="12"/>
        <v>0</v>
      </c>
      <c r="N90" s="141" t="e">
        <f t="shared" si="17"/>
        <v>#DIV/0!</v>
      </c>
      <c r="O90" s="10">
        <f t="shared" si="18"/>
        <v>0</v>
      </c>
      <c r="P90" s="142">
        <f t="shared" si="19"/>
        <v>0</v>
      </c>
      <c r="R90" s="138">
        <v>680092.4</v>
      </c>
      <c r="S90" s="139">
        <v>625407.2</v>
      </c>
      <c r="T90" s="139">
        <v>642540.6</v>
      </c>
    </row>
    <row r="91" spans="1:20" s="60" customFormat="1" ht="40.5" customHeight="1" hidden="1">
      <c r="A91" s="6"/>
      <c r="B91" s="7" t="s">
        <v>119</v>
      </c>
      <c r="C91" s="10"/>
      <c r="D91" s="10"/>
      <c r="E91" s="10"/>
      <c r="F91" s="10"/>
      <c r="G91" s="141">
        <f t="shared" si="10"/>
        <v>0</v>
      </c>
      <c r="H91" s="141" t="e">
        <f t="shared" si="13"/>
        <v>#DIV/0!</v>
      </c>
      <c r="I91" s="10">
        <f t="shared" si="14"/>
        <v>0</v>
      </c>
      <c r="J91" s="141">
        <f t="shared" si="11"/>
        <v>0</v>
      </c>
      <c r="K91" s="141" t="e">
        <f t="shared" si="15"/>
        <v>#DIV/0!</v>
      </c>
      <c r="L91" s="10">
        <f t="shared" si="16"/>
        <v>0</v>
      </c>
      <c r="M91" s="141">
        <f t="shared" si="12"/>
        <v>0</v>
      </c>
      <c r="N91" s="141" t="e">
        <f t="shared" si="17"/>
        <v>#DIV/0!</v>
      </c>
      <c r="O91" s="10">
        <f t="shared" si="18"/>
        <v>0</v>
      </c>
      <c r="P91" s="142">
        <f t="shared" si="19"/>
        <v>0</v>
      </c>
      <c r="R91" s="138">
        <v>680092.4</v>
      </c>
      <c r="S91" s="139">
        <v>625407.2</v>
      </c>
      <c r="T91" s="139">
        <v>642540.6</v>
      </c>
    </row>
    <row r="92" spans="1:20" s="132" customFormat="1" ht="37.5" customHeight="1">
      <c r="A92" s="95" t="s">
        <v>120</v>
      </c>
      <c r="B92" s="9" t="s">
        <v>9</v>
      </c>
      <c r="C92" s="49">
        <f>140839.7</f>
        <v>140839.7</v>
      </c>
      <c r="D92" s="49">
        <v>164625.5</v>
      </c>
      <c r="E92" s="49">
        <v>147916.5</v>
      </c>
      <c r="F92" s="49">
        <v>153068.1</v>
      </c>
      <c r="G92" s="98">
        <f t="shared" si="10"/>
        <v>0.24206343138079472</v>
      </c>
      <c r="H92" s="98">
        <f t="shared" si="13"/>
        <v>1.1688856196086757</v>
      </c>
      <c r="I92" s="49">
        <f t="shared" si="14"/>
        <v>23785.79999999999</v>
      </c>
      <c r="J92" s="98">
        <f t="shared" si="11"/>
        <v>0.2365123075014167</v>
      </c>
      <c r="K92" s="98">
        <f t="shared" si="15"/>
        <v>0.8985029658224273</v>
      </c>
      <c r="L92" s="49">
        <f t="shared" si="16"/>
        <v>-16709</v>
      </c>
      <c r="M92" s="98">
        <f t="shared" si="12"/>
        <v>0.2382232344539785</v>
      </c>
      <c r="N92" s="98">
        <f t="shared" si="17"/>
        <v>1.034827757552403</v>
      </c>
      <c r="O92" s="49">
        <f t="shared" si="18"/>
        <v>5151.600000000006</v>
      </c>
      <c r="P92" s="131">
        <f t="shared" si="19"/>
        <v>26.76249928877401</v>
      </c>
      <c r="R92" s="133">
        <v>680092.4</v>
      </c>
      <c r="S92" s="134">
        <v>625407.2</v>
      </c>
      <c r="T92" s="134">
        <v>642540.6</v>
      </c>
    </row>
    <row r="93" spans="1:20" s="132" customFormat="1" ht="27" customHeight="1">
      <c r="A93" s="95" t="s">
        <v>121</v>
      </c>
      <c r="B93" s="9" t="s">
        <v>305</v>
      </c>
      <c r="C93" s="49">
        <f>C95</f>
        <v>270594.3</v>
      </c>
      <c r="D93" s="49">
        <f>D95</f>
        <v>283950.4</v>
      </c>
      <c r="E93" s="49">
        <f>E95</f>
        <v>290821.6</v>
      </c>
      <c r="F93" s="49">
        <f>F95</f>
        <v>306244.3</v>
      </c>
      <c r="G93" s="98">
        <f t="shared" si="10"/>
        <v>0.4175173844024724</v>
      </c>
      <c r="H93" s="98">
        <f t="shared" si="13"/>
        <v>1.0493583937281754</v>
      </c>
      <c r="I93" s="49">
        <f t="shared" si="14"/>
        <v>13356.100000000035</v>
      </c>
      <c r="J93" s="98">
        <f t="shared" si="11"/>
        <v>0.4650115956452052</v>
      </c>
      <c r="K93" s="98">
        <f t="shared" si="15"/>
        <v>1.024198592430227</v>
      </c>
      <c r="L93" s="49">
        <f t="shared" si="16"/>
        <v>6871.199999999953</v>
      </c>
      <c r="M93" s="98">
        <f t="shared" si="12"/>
        <v>0.4766147073040988</v>
      </c>
      <c r="N93" s="98">
        <f t="shared" si="17"/>
        <v>1.0530314804677507</v>
      </c>
      <c r="O93" s="49">
        <f t="shared" si="18"/>
        <v>15422.700000000012</v>
      </c>
      <c r="P93" s="131">
        <f t="shared" si="19"/>
        <v>46.160663919302266</v>
      </c>
      <c r="R93" s="133">
        <v>680092.4</v>
      </c>
      <c r="S93" s="134">
        <v>625407.2</v>
      </c>
      <c r="T93" s="134">
        <v>642540.6</v>
      </c>
    </row>
    <row r="94" spans="1:20" ht="40.5" customHeight="1" hidden="1">
      <c r="A94" s="135"/>
      <c r="B94" s="48" t="s">
        <v>122</v>
      </c>
      <c r="C94" s="47"/>
      <c r="D94" s="47"/>
      <c r="E94" s="47"/>
      <c r="F94" s="47"/>
      <c r="G94" s="136">
        <f t="shared" si="10"/>
        <v>0</v>
      </c>
      <c r="H94" s="136" t="e">
        <f t="shared" si="13"/>
        <v>#DIV/0!</v>
      </c>
      <c r="I94" s="47">
        <f t="shared" si="14"/>
        <v>0</v>
      </c>
      <c r="J94" s="136">
        <f t="shared" si="11"/>
        <v>0</v>
      </c>
      <c r="K94" s="136" t="e">
        <f t="shared" si="15"/>
        <v>#DIV/0!</v>
      </c>
      <c r="L94" s="47">
        <f t="shared" si="16"/>
        <v>0</v>
      </c>
      <c r="M94" s="136">
        <f t="shared" si="12"/>
        <v>0</v>
      </c>
      <c r="N94" s="136" t="e">
        <f t="shared" si="17"/>
        <v>#DIV/0!</v>
      </c>
      <c r="O94" s="47">
        <f t="shared" si="18"/>
        <v>0</v>
      </c>
      <c r="P94" s="137">
        <f t="shared" si="19"/>
        <v>0</v>
      </c>
      <c r="R94" s="138">
        <v>680092.4</v>
      </c>
      <c r="S94" s="139">
        <v>625407.2</v>
      </c>
      <c r="T94" s="139">
        <v>642540.6</v>
      </c>
    </row>
    <row r="95" spans="1:20" ht="40.5" customHeight="1">
      <c r="A95" s="135" t="s">
        <v>121</v>
      </c>
      <c r="B95" s="48" t="s">
        <v>306</v>
      </c>
      <c r="C95" s="47">
        <f>270594.3</f>
        <v>270594.3</v>
      </c>
      <c r="D95" s="47">
        <f>283950.4</f>
        <v>283950.4</v>
      </c>
      <c r="E95" s="47">
        <f>290821.6</f>
        <v>290821.6</v>
      </c>
      <c r="F95" s="47">
        <f>306244.3</f>
        <v>306244.3</v>
      </c>
      <c r="G95" s="136">
        <f t="shared" si="10"/>
        <v>0.4175173844024724</v>
      </c>
      <c r="H95" s="136">
        <f t="shared" si="13"/>
        <v>1.0493583937281754</v>
      </c>
      <c r="I95" s="47">
        <f t="shared" si="14"/>
        <v>13356.100000000035</v>
      </c>
      <c r="J95" s="136">
        <f t="shared" si="11"/>
        <v>0.4650115956452052</v>
      </c>
      <c r="K95" s="136">
        <f t="shared" si="15"/>
        <v>1.024198592430227</v>
      </c>
      <c r="L95" s="47">
        <f t="shared" si="16"/>
        <v>6871.199999999953</v>
      </c>
      <c r="M95" s="136">
        <f t="shared" si="12"/>
        <v>0.4766147073040988</v>
      </c>
      <c r="N95" s="136">
        <f t="shared" si="17"/>
        <v>1.0530314804677507</v>
      </c>
      <c r="O95" s="47">
        <f t="shared" si="18"/>
        <v>15422.700000000012</v>
      </c>
      <c r="P95" s="137">
        <f t="shared" si="19"/>
        <v>46.160663919302266</v>
      </c>
      <c r="R95" s="138">
        <v>680092.4</v>
      </c>
      <c r="S95" s="139">
        <v>625407.2</v>
      </c>
      <c r="T95" s="139">
        <v>642540.6</v>
      </c>
    </row>
    <row r="96" spans="1:20" ht="40.5" customHeight="1" hidden="1">
      <c r="A96" s="135"/>
      <c r="B96" s="92" t="s">
        <v>188</v>
      </c>
      <c r="C96" s="20"/>
      <c r="D96" s="20"/>
      <c r="E96" s="20"/>
      <c r="F96" s="20"/>
      <c r="G96" s="136">
        <f t="shared" si="10"/>
        <v>0</v>
      </c>
      <c r="H96" s="136" t="e">
        <f t="shared" si="13"/>
        <v>#DIV/0!</v>
      </c>
      <c r="I96" s="47">
        <f t="shared" si="14"/>
        <v>0</v>
      </c>
      <c r="J96" s="136">
        <f t="shared" si="11"/>
        <v>0</v>
      </c>
      <c r="K96" s="136" t="e">
        <f t="shared" si="15"/>
        <v>#DIV/0!</v>
      </c>
      <c r="L96" s="47">
        <f t="shared" si="16"/>
        <v>0</v>
      </c>
      <c r="M96" s="136">
        <f t="shared" si="12"/>
        <v>0</v>
      </c>
      <c r="N96" s="136" t="e">
        <f t="shared" si="17"/>
        <v>#DIV/0!</v>
      </c>
      <c r="O96" s="47">
        <f t="shared" si="18"/>
        <v>0</v>
      </c>
      <c r="P96" s="137">
        <f t="shared" si="19"/>
        <v>0</v>
      </c>
      <c r="R96" s="138">
        <v>680092.4</v>
      </c>
      <c r="S96" s="139">
        <v>625407.2</v>
      </c>
      <c r="T96" s="139">
        <v>642540.6</v>
      </c>
    </row>
    <row r="97" spans="1:20" ht="40.5" customHeight="1" hidden="1">
      <c r="A97" s="135"/>
      <c r="B97" s="92"/>
      <c r="C97" s="20"/>
      <c r="D97" s="20"/>
      <c r="E97" s="20"/>
      <c r="F97" s="20"/>
      <c r="G97" s="136">
        <f t="shared" si="10"/>
        <v>0</v>
      </c>
      <c r="H97" s="136" t="e">
        <f t="shared" si="13"/>
        <v>#DIV/0!</v>
      </c>
      <c r="I97" s="47">
        <f t="shared" si="14"/>
        <v>0</v>
      </c>
      <c r="J97" s="136">
        <f t="shared" si="11"/>
        <v>0</v>
      </c>
      <c r="K97" s="136" t="e">
        <f t="shared" si="15"/>
        <v>#DIV/0!</v>
      </c>
      <c r="L97" s="47">
        <f t="shared" si="16"/>
        <v>0</v>
      </c>
      <c r="M97" s="136">
        <f t="shared" si="12"/>
        <v>0</v>
      </c>
      <c r="N97" s="136" t="e">
        <f t="shared" si="17"/>
        <v>#DIV/0!</v>
      </c>
      <c r="O97" s="47">
        <f t="shared" si="18"/>
        <v>0</v>
      </c>
      <c r="P97" s="137">
        <f t="shared" si="19"/>
        <v>0</v>
      </c>
      <c r="R97" s="138">
        <v>680092.4</v>
      </c>
      <c r="S97" s="139">
        <v>625407.2</v>
      </c>
      <c r="T97" s="139">
        <v>642540.6</v>
      </c>
    </row>
    <row r="98" spans="1:20" s="132" customFormat="1" ht="27" customHeight="1">
      <c r="A98" s="95" t="s">
        <v>236</v>
      </c>
      <c r="B98" s="9" t="s">
        <v>263</v>
      </c>
      <c r="C98" s="49">
        <f>C99+C101+C102</f>
        <v>30074.9</v>
      </c>
      <c r="D98" s="49">
        <f>D99+D101+D102</f>
        <v>28382</v>
      </c>
      <c r="E98" s="49">
        <f>E99+E101+E102</f>
        <v>26993.7</v>
      </c>
      <c r="F98" s="49">
        <f>F99+F101+F102</f>
        <v>27906.2</v>
      </c>
      <c r="G98" s="98" t="e">
        <f t="shared" si="10"/>
        <v>#DIV/0!</v>
      </c>
      <c r="H98" s="98">
        <f t="shared" si="13"/>
        <v>0.9437105360283824</v>
      </c>
      <c r="I98" s="49">
        <f t="shared" si="14"/>
        <v>-1692.9000000000015</v>
      </c>
      <c r="J98" s="98" t="e">
        <f t="shared" si="11"/>
        <v>#DIV/0!</v>
      </c>
      <c r="K98" s="98">
        <f t="shared" si="15"/>
        <v>0.9510851948418012</v>
      </c>
      <c r="L98" s="49">
        <f t="shared" si="16"/>
        <v>-1388.2999999999993</v>
      </c>
      <c r="M98" s="98" t="e">
        <f t="shared" si="12"/>
        <v>#DIV/0!</v>
      </c>
      <c r="N98" s="98">
        <f t="shared" si="17"/>
        <v>1.0338041839392154</v>
      </c>
      <c r="O98" s="49">
        <f t="shared" si="18"/>
        <v>912.5</v>
      </c>
      <c r="P98" s="131"/>
      <c r="R98" s="133"/>
      <c r="S98" s="134"/>
      <c r="T98" s="134"/>
    </row>
    <row r="99" spans="1:20" ht="48" customHeight="1">
      <c r="A99" s="135" t="s">
        <v>236</v>
      </c>
      <c r="B99" s="48" t="s">
        <v>307</v>
      </c>
      <c r="C99" s="20">
        <f>13020.3</f>
        <v>13020.3</v>
      </c>
      <c r="D99" s="47">
        <f>14970.4</f>
        <v>14970.4</v>
      </c>
      <c r="E99" s="47">
        <f>14399</f>
        <v>14399</v>
      </c>
      <c r="F99" s="47">
        <f>15411.7</f>
        <v>15411.7</v>
      </c>
      <c r="G99" s="136" t="e">
        <f t="shared" si="10"/>
        <v>#DIV/0!</v>
      </c>
      <c r="H99" s="136">
        <f t="shared" si="13"/>
        <v>1.1497738147354517</v>
      </c>
      <c r="I99" s="47">
        <f t="shared" si="14"/>
        <v>1950.1000000000004</v>
      </c>
      <c r="J99" s="136" t="e">
        <f t="shared" si="11"/>
        <v>#DIV/0!</v>
      </c>
      <c r="K99" s="136">
        <f t="shared" si="15"/>
        <v>0.9618313471917919</v>
      </c>
      <c r="L99" s="47">
        <f t="shared" si="16"/>
        <v>-571.3999999999996</v>
      </c>
      <c r="M99" s="136" t="e">
        <f t="shared" si="12"/>
        <v>#DIV/0!</v>
      </c>
      <c r="N99" s="136">
        <f t="shared" si="17"/>
        <v>1.0703312730050698</v>
      </c>
      <c r="O99" s="47">
        <f t="shared" si="18"/>
        <v>1012.7000000000007</v>
      </c>
      <c r="P99" s="137"/>
      <c r="R99" s="138"/>
      <c r="S99" s="139"/>
      <c r="T99" s="139"/>
    </row>
    <row r="100" spans="1:20" ht="40.5" customHeight="1" hidden="1">
      <c r="A100" s="135"/>
      <c r="B100" s="92" t="s">
        <v>188</v>
      </c>
      <c r="C100" s="20">
        <v>12.4</v>
      </c>
      <c r="D100" s="20"/>
      <c r="E100" s="20"/>
      <c r="F100" s="20"/>
      <c r="G100" s="136" t="e">
        <f t="shared" si="10"/>
        <v>#DIV/0!</v>
      </c>
      <c r="H100" s="136">
        <f t="shared" si="13"/>
        <v>0</v>
      </c>
      <c r="I100" s="47">
        <f t="shared" si="14"/>
        <v>-12.4</v>
      </c>
      <c r="J100" s="136" t="e">
        <f t="shared" si="11"/>
        <v>#DIV/0!</v>
      </c>
      <c r="K100" s="136" t="e">
        <f t="shared" si="15"/>
        <v>#DIV/0!</v>
      </c>
      <c r="L100" s="47">
        <f t="shared" si="16"/>
        <v>0</v>
      </c>
      <c r="M100" s="136" t="e">
        <f t="shared" si="12"/>
        <v>#DIV/0!</v>
      </c>
      <c r="N100" s="136" t="e">
        <f t="shared" si="17"/>
        <v>#DIV/0!</v>
      </c>
      <c r="O100" s="47">
        <f t="shared" si="18"/>
        <v>0</v>
      </c>
      <c r="P100" s="137"/>
      <c r="R100" s="138"/>
      <c r="S100" s="139"/>
      <c r="T100" s="139"/>
    </row>
    <row r="101" spans="1:20" ht="19.5" customHeight="1">
      <c r="A101" s="135" t="s">
        <v>236</v>
      </c>
      <c r="B101" s="48" t="s">
        <v>123</v>
      </c>
      <c r="C101" s="47">
        <v>4535.5</v>
      </c>
      <c r="D101" s="47">
        <v>0</v>
      </c>
      <c r="E101" s="47">
        <v>0</v>
      </c>
      <c r="F101" s="47">
        <v>0</v>
      </c>
      <c r="G101" s="136">
        <f t="shared" si="10"/>
        <v>0</v>
      </c>
      <c r="H101" s="136">
        <f t="shared" si="13"/>
        <v>0</v>
      </c>
      <c r="I101" s="47">
        <f t="shared" si="14"/>
        <v>-4535.5</v>
      </c>
      <c r="J101" s="136">
        <f t="shared" si="11"/>
        <v>0</v>
      </c>
      <c r="K101" s="136" t="e">
        <f t="shared" si="15"/>
        <v>#DIV/0!</v>
      </c>
      <c r="L101" s="47">
        <f t="shared" si="16"/>
        <v>0</v>
      </c>
      <c r="M101" s="136">
        <f t="shared" si="12"/>
        <v>0</v>
      </c>
      <c r="N101" s="136" t="e">
        <f t="shared" si="17"/>
        <v>#DIV/0!</v>
      </c>
      <c r="O101" s="47">
        <f t="shared" si="18"/>
        <v>0</v>
      </c>
      <c r="P101" s="137">
        <f t="shared" si="19"/>
        <v>0</v>
      </c>
      <c r="R101" s="138">
        <v>680092.4</v>
      </c>
      <c r="S101" s="139">
        <v>625407.2</v>
      </c>
      <c r="T101" s="139">
        <v>642540.6</v>
      </c>
    </row>
    <row r="102" spans="1:20" ht="24" customHeight="1">
      <c r="A102" s="135" t="s">
        <v>236</v>
      </c>
      <c r="B102" s="48" t="s">
        <v>308</v>
      </c>
      <c r="C102" s="47">
        <v>12519.1</v>
      </c>
      <c r="D102" s="47">
        <f>13411.6</f>
        <v>13411.6</v>
      </c>
      <c r="E102" s="47">
        <f>12594.7</f>
        <v>12594.7</v>
      </c>
      <c r="F102" s="47">
        <f>12494.5</f>
        <v>12494.5</v>
      </c>
      <c r="G102" s="136">
        <f t="shared" si="10"/>
        <v>0.019720261540931792</v>
      </c>
      <c r="H102" s="136">
        <f t="shared" si="13"/>
        <v>1.071291067249243</v>
      </c>
      <c r="I102" s="47">
        <f t="shared" si="14"/>
        <v>892.5</v>
      </c>
      <c r="J102" s="136">
        <f t="shared" si="11"/>
        <v>0.020138399430003368</v>
      </c>
      <c r="K102" s="136">
        <f t="shared" si="15"/>
        <v>0.9390900414566495</v>
      </c>
      <c r="L102" s="47">
        <f t="shared" si="16"/>
        <v>-816.8999999999996</v>
      </c>
      <c r="M102" s="136">
        <f t="shared" si="12"/>
        <v>0.019445463835281382</v>
      </c>
      <c r="N102" s="136">
        <f t="shared" si="17"/>
        <v>0.9920442725908516</v>
      </c>
      <c r="O102" s="47">
        <f t="shared" si="18"/>
        <v>-100.20000000000073</v>
      </c>
      <c r="P102" s="137">
        <f t="shared" si="19"/>
        <v>2.180269371763922</v>
      </c>
      <c r="R102" s="138">
        <v>680092.4</v>
      </c>
      <c r="S102" s="139">
        <v>625407.2</v>
      </c>
      <c r="T102" s="139">
        <v>642540.6</v>
      </c>
    </row>
    <row r="103" spans="1:20" ht="24" customHeight="1" hidden="1">
      <c r="A103" s="135"/>
      <c r="B103" s="92" t="s">
        <v>188</v>
      </c>
      <c r="C103" s="20">
        <v>9</v>
      </c>
      <c r="D103" s="20"/>
      <c r="E103" s="20"/>
      <c r="F103" s="20"/>
      <c r="G103" s="136">
        <f t="shared" si="10"/>
        <v>0</v>
      </c>
      <c r="H103" s="136">
        <f t="shared" si="13"/>
        <v>0</v>
      </c>
      <c r="I103" s="47">
        <f t="shared" si="14"/>
        <v>-9</v>
      </c>
      <c r="J103" s="136">
        <f t="shared" si="11"/>
        <v>0</v>
      </c>
      <c r="K103" s="136" t="e">
        <f t="shared" si="15"/>
        <v>#DIV/0!</v>
      </c>
      <c r="L103" s="47">
        <f t="shared" si="16"/>
        <v>0</v>
      </c>
      <c r="M103" s="136">
        <f t="shared" si="12"/>
        <v>0</v>
      </c>
      <c r="N103" s="136" t="e">
        <f t="shared" si="17"/>
        <v>#DIV/0!</v>
      </c>
      <c r="O103" s="47">
        <f t="shared" si="18"/>
        <v>0</v>
      </c>
      <c r="P103" s="137">
        <f t="shared" si="19"/>
        <v>0</v>
      </c>
      <c r="R103" s="138">
        <v>680092.4</v>
      </c>
      <c r="S103" s="139">
        <v>625407.2</v>
      </c>
      <c r="T103" s="139">
        <v>642540.6</v>
      </c>
    </row>
    <row r="104" spans="1:20" ht="40.5" customHeight="1" hidden="1">
      <c r="A104" s="135"/>
      <c r="B104" s="92"/>
      <c r="C104" s="20"/>
      <c r="D104" s="20"/>
      <c r="E104" s="20"/>
      <c r="F104" s="20"/>
      <c r="G104" s="136">
        <f t="shared" si="10"/>
        <v>0</v>
      </c>
      <c r="H104" s="136" t="e">
        <f t="shared" si="13"/>
        <v>#DIV/0!</v>
      </c>
      <c r="I104" s="47">
        <f t="shared" si="14"/>
        <v>0</v>
      </c>
      <c r="J104" s="136">
        <f t="shared" si="11"/>
        <v>0</v>
      </c>
      <c r="K104" s="136" t="e">
        <f t="shared" si="15"/>
        <v>#DIV/0!</v>
      </c>
      <c r="L104" s="47">
        <f t="shared" si="16"/>
        <v>0</v>
      </c>
      <c r="M104" s="136">
        <f t="shared" si="12"/>
        <v>0</v>
      </c>
      <c r="N104" s="136" t="e">
        <f t="shared" si="17"/>
        <v>#DIV/0!</v>
      </c>
      <c r="O104" s="47">
        <f t="shared" si="18"/>
        <v>0</v>
      </c>
      <c r="P104" s="137">
        <f t="shared" si="19"/>
        <v>0</v>
      </c>
      <c r="R104" s="138">
        <v>680092.4</v>
      </c>
      <c r="S104" s="139">
        <v>625407.2</v>
      </c>
      <c r="T104" s="139">
        <v>642540.6</v>
      </c>
    </row>
    <row r="105" spans="1:20" ht="40.5" customHeight="1" hidden="1">
      <c r="A105" s="135"/>
      <c r="B105" s="48" t="s">
        <v>124</v>
      </c>
      <c r="C105" s="47">
        <v>0</v>
      </c>
      <c r="D105" s="47">
        <v>0</v>
      </c>
      <c r="E105" s="47">
        <v>0</v>
      </c>
      <c r="F105" s="47">
        <v>0</v>
      </c>
      <c r="G105" s="136">
        <f t="shared" si="10"/>
        <v>0</v>
      </c>
      <c r="H105" s="136" t="e">
        <f t="shared" si="13"/>
        <v>#DIV/0!</v>
      </c>
      <c r="I105" s="47">
        <f t="shared" si="14"/>
        <v>0</v>
      </c>
      <c r="J105" s="136">
        <f t="shared" si="11"/>
        <v>0</v>
      </c>
      <c r="K105" s="136" t="e">
        <f t="shared" si="15"/>
        <v>#DIV/0!</v>
      </c>
      <c r="L105" s="47">
        <f t="shared" si="16"/>
        <v>0</v>
      </c>
      <c r="M105" s="136">
        <f t="shared" si="12"/>
        <v>0</v>
      </c>
      <c r="N105" s="136" t="e">
        <f t="shared" si="17"/>
        <v>#DIV/0!</v>
      </c>
      <c r="O105" s="47">
        <f t="shared" si="18"/>
        <v>0</v>
      </c>
      <c r="P105" s="137">
        <f t="shared" si="19"/>
        <v>0</v>
      </c>
      <c r="R105" s="138">
        <v>680092.4</v>
      </c>
      <c r="S105" s="139">
        <v>625407.2</v>
      </c>
      <c r="T105" s="139">
        <v>642540.6</v>
      </c>
    </row>
    <row r="106" spans="1:20" ht="18.75" hidden="1">
      <c r="A106" s="135" t="s">
        <v>125</v>
      </c>
      <c r="B106" s="48" t="s">
        <v>126</v>
      </c>
      <c r="C106" s="47">
        <v>0</v>
      </c>
      <c r="D106" s="47">
        <v>0</v>
      </c>
      <c r="E106" s="47">
        <v>0</v>
      </c>
      <c r="F106" s="47">
        <v>0</v>
      </c>
      <c r="G106" s="136">
        <f t="shared" si="10"/>
        <v>0</v>
      </c>
      <c r="H106" s="136" t="e">
        <f t="shared" si="13"/>
        <v>#DIV/0!</v>
      </c>
      <c r="I106" s="47">
        <f t="shared" si="14"/>
        <v>0</v>
      </c>
      <c r="J106" s="136">
        <f t="shared" si="11"/>
        <v>0</v>
      </c>
      <c r="K106" s="136" t="e">
        <f t="shared" si="15"/>
        <v>#DIV/0!</v>
      </c>
      <c r="L106" s="47">
        <f t="shared" si="16"/>
        <v>0</v>
      </c>
      <c r="M106" s="136">
        <f t="shared" si="12"/>
        <v>0</v>
      </c>
      <c r="N106" s="136" t="e">
        <f t="shared" si="17"/>
        <v>#DIV/0!</v>
      </c>
      <c r="O106" s="47">
        <f t="shared" si="18"/>
        <v>0</v>
      </c>
      <c r="P106" s="137">
        <f t="shared" si="19"/>
        <v>0</v>
      </c>
      <c r="R106" s="138">
        <v>680092.4</v>
      </c>
      <c r="S106" s="139">
        <v>625407.2</v>
      </c>
      <c r="T106" s="139">
        <v>642540.6</v>
      </c>
    </row>
    <row r="107" spans="1:20" ht="18.75" hidden="1">
      <c r="A107" s="135"/>
      <c r="B107" s="48" t="s">
        <v>122</v>
      </c>
      <c r="C107" s="47"/>
      <c r="D107" s="47"/>
      <c r="E107" s="47"/>
      <c r="F107" s="47"/>
      <c r="G107" s="136">
        <f t="shared" si="10"/>
        <v>0</v>
      </c>
      <c r="H107" s="136" t="e">
        <f t="shared" si="13"/>
        <v>#DIV/0!</v>
      </c>
      <c r="I107" s="47">
        <f t="shared" si="14"/>
        <v>0</v>
      </c>
      <c r="J107" s="136">
        <f t="shared" si="11"/>
        <v>0</v>
      </c>
      <c r="K107" s="136" t="e">
        <f t="shared" si="15"/>
        <v>#DIV/0!</v>
      </c>
      <c r="L107" s="47">
        <f t="shared" si="16"/>
        <v>0</v>
      </c>
      <c r="M107" s="136">
        <f t="shared" si="12"/>
        <v>0</v>
      </c>
      <c r="N107" s="136" t="e">
        <f t="shared" si="17"/>
        <v>#DIV/0!</v>
      </c>
      <c r="O107" s="47">
        <f t="shared" si="18"/>
        <v>0</v>
      </c>
      <c r="P107" s="137">
        <f t="shared" si="19"/>
        <v>0</v>
      </c>
      <c r="R107" s="138">
        <v>680092.4</v>
      </c>
      <c r="S107" s="139">
        <v>625407.2</v>
      </c>
      <c r="T107" s="139">
        <v>642540.6</v>
      </c>
    </row>
    <row r="108" spans="1:20" ht="18.75" hidden="1">
      <c r="A108" s="135"/>
      <c r="B108" s="48" t="s">
        <v>127</v>
      </c>
      <c r="C108" s="47"/>
      <c r="D108" s="47"/>
      <c r="E108" s="47"/>
      <c r="F108" s="47"/>
      <c r="G108" s="136">
        <f t="shared" si="10"/>
        <v>0</v>
      </c>
      <c r="H108" s="136" t="e">
        <f t="shared" si="13"/>
        <v>#DIV/0!</v>
      </c>
      <c r="I108" s="47">
        <f t="shared" si="14"/>
        <v>0</v>
      </c>
      <c r="J108" s="136">
        <f t="shared" si="11"/>
        <v>0</v>
      </c>
      <c r="K108" s="136" t="e">
        <f t="shared" si="15"/>
        <v>#DIV/0!</v>
      </c>
      <c r="L108" s="47">
        <f t="shared" si="16"/>
        <v>0</v>
      </c>
      <c r="M108" s="136">
        <f t="shared" si="12"/>
        <v>0</v>
      </c>
      <c r="N108" s="136" t="e">
        <f t="shared" si="17"/>
        <v>#DIV/0!</v>
      </c>
      <c r="O108" s="47">
        <f t="shared" si="18"/>
        <v>0</v>
      </c>
      <c r="P108" s="137">
        <f t="shared" si="19"/>
        <v>0</v>
      </c>
      <c r="R108" s="138">
        <v>680092.4</v>
      </c>
      <c r="S108" s="139">
        <v>625407.2</v>
      </c>
      <c r="T108" s="139">
        <v>642540.6</v>
      </c>
    </row>
    <row r="109" spans="1:20" ht="40.5" customHeight="1" hidden="1">
      <c r="A109" s="135"/>
      <c r="B109" s="48" t="s">
        <v>128</v>
      </c>
      <c r="C109" s="47"/>
      <c r="D109" s="47"/>
      <c r="E109" s="47"/>
      <c r="F109" s="47"/>
      <c r="G109" s="136">
        <f t="shared" si="10"/>
        <v>0</v>
      </c>
      <c r="H109" s="136" t="e">
        <f t="shared" si="13"/>
        <v>#DIV/0!</v>
      </c>
      <c r="I109" s="47">
        <f t="shared" si="14"/>
        <v>0</v>
      </c>
      <c r="J109" s="136">
        <f t="shared" si="11"/>
        <v>0</v>
      </c>
      <c r="K109" s="136" t="e">
        <f t="shared" si="15"/>
        <v>#DIV/0!</v>
      </c>
      <c r="L109" s="47">
        <f t="shared" si="16"/>
        <v>0</v>
      </c>
      <c r="M109" s="136">
        <f t="shared" si="12"/>
        <v>0</v>
      </c>
      <c r="N109" s="136" t="e">
        <f t="shared" si="17"/>
        <v>#DIV/0!</v>
      </c>
      <c r="O109" s="47">
        <f t="shared" si="18"/>
        <v>0</v>
      </c>
      <c r="P109" s="137">
        <f t="shared" si="19"/>
        <v>0</v>
      </c>
      <c r="R109" s="138">
        <v>680092.4</v>
      </c>
      <c r="S109" s="139">
        <v>625407.2</v>
      </c>
      <c r="T109" s="139">
        <v>642540.6</v>
      </c>
    </row>
    <row r="110" spans="1:20" s="132" customFormat="1" ht="32.25" customHeight="1">
      <c r="A110" s="95" t="s">
        <v>129</v>
      </c>
      <c r="B110" s="9" t="s">
        <v>264</v>
      </c>
      <c r="C110" s="49">
        <f>SUM(C112:C117)</f>
        <v>3909.3</v>
      </c>
      <c r="D110" s="49">
        <f>SUM(D112:D117)</f>
        <v>4560.1</v>
      </c>
      <c r="E110" s="49">
        <f>SUM(E112:E117)</f>
        <v>4153.3</v>
      </c>
      <c r="F110" s="49">
        <f>SUM(F112:F117)</f>
        <v>4118.200000000001</v>
      </c>
      <c r="G110" s="98">
        <f t="shared" si="10"/>
        <v>0.00670511830451274</v>
      </c>
      <c r="H110" s="98">
        <f t="shared" si="13"/>
        <v>1.1664748164633054</v>
      </c>
      <c r="I110" s="49">
        <f t="shared" si="14"/>
        <v>650.8000000000002</v>
      </c>
      <c r="J110" s="98">
        <f t="shared" si="11"/>
        <v>0.006640953286115031</v>
      </c>
      <c r="K110" s="98">
        <f t="shared" si="15"/>
        <v>0.9107914300124997</v>
      </c>
      <c r="L110" s="49">
        <f t="shared" si="16"/>
        <v>-406.8000000000002</v>
      </c>
      <c r="M110" s="98">
        <f t="shared" si="12"/>
        <v>0.0064092448010289165</v>
      </c>
      <c r="N110" s="98">
        <f t="shared" si="17"/>
        <v>0.9915488888353841</v>
      </c>
      <c r="O110" s="49">
        <f t="shared" si="18"/>
        <v>-35.099999999999454</v>
      </c>
      <c r="P110" s="131">
        <f t="shared" si="19"/>
        <v>0.7413169466864998</v>
      </c>
      <c r="R110" s="133">
        <v>680092.4</v>
      </c>
      <c r="S110" s="134">
        <v>625407.2</v>
      </c>
      <c r="T110" s="134">
        <v>642540.6</v>
      </c>
    </row>
    <row r="111" spans="1:20" ht="40.5" customHeight="1" hidden="1">
      <c r="A111" s="135"/>
      <c r="B111" s="48" t="s">
        <v>122</v>
      </c>
      <c r="C111" s="47"/>
      <c r="D111" s="47"/>
      <c r="E111" s="47"/>
      <c r="F111" s="47"/>
      <c r="G111" s="136">
        <f t="shared" si="10"/>
        <v>0</v>
      </c>
      <c r="H111" s="136" t="e">
        <f t="shared" si="13"/>
        <v>#DIV/0!</v>
      </c>
      <c r="I111" s="47">
        <f t="shared" si="14"/>
        <v>0</v>
      </c>
      <c r="J111" s="136">
        <f t="shared" si="11"/>
        <v>0</v>
      </c>
      <c r="K111" s="136" t="e">
        <f t="shared" si="15"/>
        <v>#DIV/0!</v>
      </c>
      <c r="L111" s="47">
        <f t="shared" si="16"/>
        <v>0</v>
      </c>
      <c r="M111" s="136">
        <f t="shared" si="12"/>
        <v>0</v>
      </c>
      <c r="N111" s="136" t="e">
        <f t="shared" si="17"/>
        <v>#DIV/0!</v>
      </c>
      <c r="O111" s="47">
        <f t="shared" si="18"/>
        <v>0</v>
      </c>
      <c r="P111" s="137">
        <f t="shared" si="19"/>
        <v>0</v>
      </c>
      <c r="R111" s="138">
        <v>680092.4</v>
      </c>
      <c r="S111" s="139">
        <v>625407.2</v>
      </c>
      <c r="T111" s="139">
        <v>642540.6</v>
      </c>
    </row>
    <row r="112" spans="1:20" ht="36" customHeight="1">
      <c r="A112" s="135"/>
      <c r="B112" s="154" t="s">
        <v>309</v>
      </c>
      <c r="C112" s="47">
        <v>2600</v>
      </c>
      <c r="D112" s="156">
        <f>2791.4</f>
        <v>2791.4</v>
      </c>
      <c r="E112" s="156">
        <f>2791.4-400+46</f>
        <v>2437.4</v>
      </c>
      <c r="F112" s="156">
        <f>2791.4-400</f>
        <v>2391.4</v>
      </c>
      <c r="G112" s="136">
        <f t="shared" si="10"/>
        <v>0.004104442278725655</v>
      </c>
      <c r="H112" s="136">
        <f t="shared" si="13"/>
        <v>1.0736153846153846</v>
      </c>
      <c r="I112" s="47">
        <f t="shared" si="14"/>
        <v>191.4000000000001</v>
      </c>
      <c r="J112" s="136">
        <f t="shared" si="11"/>
        <v>0.003897300830562872</v>
      </c>
      <c r="K112" s="136">
        <f t="shared" si="15"/>
        <v>0.8731819158845024</v>
      </c>
      <c r="L112" s="47">
        <f t="shared" si="16"/>
        <v>-354</v>
      </c>
      <c r="M112" s="136">
        <f t="shared" si="12"/>
        <v>0.0037217881640475327</v>
      </c>
      <c r="N112" s="136">
        <f t="shared" si="17"/>
        <v>0.9811274308689587</v>
      </c>
      <c r="O112" s="47">
        <f t="shared" si="18"/>
        <v>-46</v>
      </c>
      <c r="P112" s="137">
        <f t="shared" si="19"/>
        <v>0.4537865671763109</v>
      </c>
      <c r="R112" s="138">
        <v>680092.4</v>
      </c>
      <c r="S112" s="139">
        <v>625407.2</v>
      </c>
      <c r="T112" s="139">
        <v>642540.6</v>
      </c>
    </row>
    <row r="113" spans="1:20" ht="45" customHeight="1">
      <c r="A113" s="135"/>
      <c r="B113" s="48" t="s">
        <v>130</v>
      </c>
      <c r="C113" s="47">
        <v>329.3</v>
      </c>
      <c r="D113" s="47">
        <v>348.1</v>
      </c>
      <c r="E113" s="47">
        <v>295.9</v>
      </c>
      <c r="F113" s="47">
        <v>306.8</v>
      </c>
      <c r="G113" s="136">
        <f t="shared" si="10"/>
        <v>0.0005118422143814576</v>
      </c>
      <c r="H113" s="136">
        <f t="shared" si="13"/>
        <v>1.0570907986638325</v>
      </c>
      <c r="I113" s="47">
        <f t="shared" si="14"/>
        <v>18.80000000000001</v>
      </c>
      <c r="J113" s="136">
        <f t="shared" si="11"/>
        <v>0.0004731317452053638</v>
      </c>
      <c r="K113" s="136">
        <f t="shared" si="15"/>
        <v>0.8500430910657856</v>
      </c>
      <c r="L113" s="47">
        <f t="shared" si="16"/>
        <v>-52.200000000000045</v>
      </c>
      <c r="M113" s="136">
        <f t="shared" si="12"/>
        <v>0.00047747955537751237</v>
      </c>
      <c r="N113" s="136">
        <f t="shared" si="17"/>
        <v>1.0368367691787768</v>
      </c>
      <c r="O113" s="47">
        <f t="shared" si="18"/>
        <v>10.900000000000034</v>
      </c>
      <c r="P113" s="137">
        <f t="shared" si="19"/>
        <v>0.05658920399587082</v>
      </c>
      <c r="R113" s="138">
        <v>680092.4</v>
      </c>
      <c r="S113" s="139">
        <v>625407.2</v>
      </c>
      <c r="T113" s="139">
        <v>642540.6</v>
      </c>
    </row>
    <row r="114" spans="1:20" ht="45" customHeight="1">
      <c r="A114" s="135"/>
      <c r="B114" s="154" t="s">
        <v>310</v>
      </c>
      <c r="C114" s="47"/>
      <c r="D114" s="47">
        <v>18</v>
      </c>
      <c r="E114" s="47">
        <v>18</v>
      </c>
      <c r="F114" s="47">
        <v>18</v>
      </c>
      <c r="G114" s="136"/>
      <c r="H114" s="136"/>
      <c r="I114" s="47"/>
      <c r="J114" s="136"/>
      <c r="K114" s="136"/>
      <c r="L114" s="47"/>
      <c r="M114" s="136"/>
      <c r="N114" s="136"/>
      <c r="O114" s="47"/>
      <c r="P114" s="137"/>
      <c r="R114" s="138"/>
      <c r="S114" s="139"/>
      <c r="T114" s="139"/>
    </row>
    <row r="115" spans="1:20" ht="19.5" customHeight="1">
      <c r="A115" s="135"/>
      <c r="B115" s="154" t="s">
        <v>311</v>
      </c>
      <c r="C115" s="47">
        <v>900</v>
      </c>
      <c r="D115" s="47">
        <v>1208.6</v>
      </c>
      <c r="E115" s="47">
        <v>1208</v>
      </c>
      <c r="F115" s="47">
        <v>1208</v>
      </c>
      <c r="G115" s="136">
        <f t="shared" si="10"/>
        <v>0.001777111463089427</v>
      </c>
      <c r="H115" s="136">
        <f t="shared" si="13"/>
        <v>1.3428888888888888</v>
      </c>
      <c r="I115" s="47">
        <f t="shared" si="14"/>
        <v>308.5999999999999</v>
      </c>
      <c r="J115" s="136">
        <f t="shared" si="11"/>
        <v>0.0019315415620414988</v>
      </c>
      <c r="K115" s="136">
        <f t="shared" si="15"/>
        <v>0.9995035578355123</v>
      </c>
      <c r="L115" s="47">
        <f t="shared" si="16"/>
        <v>-0.599999999999909</v>
      </c>
      <c r="M115" s="136">
        <f t="shared" si="12"/>
        <v>0.0018800368412517435</v>
      </c>
      <c r="N115" s="136">
        <f t="shared" si="17"/>
        <v>1</v>
      </c>
      <c r="O115" s="47">
        <f t="shared" si="18"/>
        <v>0</v>
      </c>
      <c r="P115" s="137">
        <f t="shared" si="19"/>
        <v>0.1964771960626529</v>
      </c>
      <c r="R115" s="138">
        <v>680092.4</v>
      </c>
      <c r="S115" s="139">
        <v>625407.2</v>
      </c>
      <c r="T115" s="139">
        <v>642540.6</v>
      </c>
    </row>
    <row r="116" spans="1:20" ht="53.25" customHeight="1">
      <c r="A116" s="135"/>
      <c r="B116" s="154" t="s">
        <v>312</v>
      </c>
      <c r="C116" s="47"/>
      <c r="D116" s="47">
        <f>114</f>
        <v>114</v>
      </c>
      <c r="E116" s="47">
        <f>114</f>
        <v>114</v>
      </c>
      <c r="F116" s="47">
        <f>114</f>
        <v>114</v>
      </c>
      <c r="G116" s="136">
        <f t="shared" si="10"/>
        <v>0.00016762428164172986</v>
      </c>
      <c r="H116" s="136" t="e">
        <f t="shared" si="13"/>
        <v>#DIV/0!</v>
      </c>
      <c r="I116" s="47">
        <f t="shared" si="14"/>
        <v>114</v>
      </c>
      <c r="J116" s="136">
        <f t="shared" si="11"/>
        <v>0.00018228124012643283</v>
      </c>
      <c r="K116" s="136">
        <f t="shared" si="15"/>
        <v>1</v>
      </c>
      <c r="L116" s="47">
        <f t="shared" si="16"/>
        <v>0</v>
      </c>
      <c r="M116" s="136">
        <f t="shared" si="12"/>
        <v>0.00017742069528369102</v>
      </c>
      <c r="N116" s="136">
        <f t="shared" si="17"/>
        <v>1</v>
      </c>
      <c r="O116" s="47">
        <f t="shared" si="18"/>
        <v>0</v>
      </c>
      <c r="P116" s="137">
        <f t="shared" si="19"/>
        <v>0.01853251725231047</v>
      </c>
      <c r="R116" s="138">
        <v>680092.4</v>
      </c>
      <c r="S116" s="139">
        <v>625407.2</v>
      </c>
      <c r="T116" s="139">
        <v>642540.6</v>
      </c>
    </row>
    <row r="117" spans="1:20" ht="51.75" customHeight="1">
      <c r="A117" s="135"/>
      <c r="B117" s="154" t="s">
        <v>313</v>
      </c>
      <c r="C117" s="47">
        <v>80</v>
      </c>
      <c r="D117" s="47">
        <f>30+50</f>
        <v>80</v>
      </c>
      <c r="E117" s="47">
        <f>30+50</f>
        <v>80</v>
      </c>
      <c r="F117" s="47">
        <f>30+50</f>
        <v>80</v>
      </c>
      <c r="G117" s="136">
        <f t="shared" si="10"/>
        <v>0.00011763107483630165</v>
      </c>
      <c r="H117" s="136">
        <f t="shared" si="13"/>
        <v>1</v>
      </c>
      <c r="I117" s="47">
        <f t="shared" si="14"/>
        <v>0</v>
      </c>
      <c r="J117" s="136">
        <f t="shared" si="11"/>
        <v>0.0001279166597378476</v>
      </c>
      <c r="K117" s="136">
        <f t="shared" si="15"/>
        <v>1</v>
      </c>
      <c r="L117" s="47">
        <f t="shared" si="16"/>
        <v>0</v>
      </c>
      <c r="M117" s="136">
        <f t="shared" si="12"/>
        <v>0.0001245057510762744</v>
      </c>
      <c r="N117" s="136">
        <f t="shared" si="17"/>
        <v>1</v>
      </c>
      <c r="O117" s="47">
        <f t="shared" si="18"/>
        <v>0</v>
      </c>
      <c r="P117" s="137">
        <f t="shared" si="19"/>
        <v>0.013005275264779277</v>
      </c>
      <c r="R117" s="138">
        <v>680092.4</v>
      </c>
      <c r="S117" s="139">
        <v>625407.2</v>
      </c>
      <c r="T117" s="139">
        <v>642540.6</v>
      </c>
    </row>
    <row r="118" spans="1:20" s="132" customFormat="1" ht="37.5" customHeight="1">
      <c r="A118" s="95" t="s">
        <v>131</v>
      </c>
      <c r="B118" s="9" t="s">
        <v>314</v>
      </c>
      <c r="C118" s="49">
        <f>C120+C121+C122</f>
        <v>22633.7</v>
      </c>
      <c r="D118" s="49">
        <f>D120+D121+D122</f>
        <v>24947.2</v>
      </c>
      <c r="E118" s="49">
        <f>E120+E121+E122</f>
        <v>22900.795000000002</v>
      </c>
      <c r="F118" s="49">
        <f>F120+F121+F122</f>
        <v>21994.307475</v>
      </c>
      <c r="G118" s="98">
        <f t="shared" si="10"/>
        <v>0.036682074376952305</v>
      </c>
      <c r="H118" s="98">
        <f t="shared" si="13"/>
        <v>1.1022148389348627</v>
      </c>
      <c r="I118" s="49">
        <f t="shared" si="14"/>
        <v>2313.5</v>
      </c>
      <c r="J118" s="98">
        <f t="shared" si="11"/>
        <v>0.03661741502176503</v>
      </c>
      <c r="K118" s="98">
        <f t="shared" si="15"/>
        <v>0.917970553809646</v>
      </c>
      <c r="L118" s="49">
        <f t="shared" si="16"/>
        <v>-2046.4049999999988</v>
      </c>
      <c r="M118" s="98">
        <f t="shared" si="12"/>
        <v>0.034230222144717395</v>
      </c>
      <c r="N118" s="98">
        <f t="shared" si="17"/>
        <v>0.9604167660991682</v>
      </c>
      <c r="O118" s="49">
        <f t="shared" si="18"/>
        <v>-906.4875250000005</v>
      </c>
      <c r="P118" s="131">
        <f t="shared" si="19"/>
        <v>4.055565038568769</v>
      </c>
      <c r="R118" s="133">
        <v>680092.4</v>
      </c>
      <c r="S118" s="134">
        <v>625407.2</v>
      </c>
      <c r="T118" s="134">
        <v>642540.6</v>
      </c>
    </row>
    <row r="119" spans="1:20" ht="18.75">
      <c r="A119" s="135"/>
      <c r="B119" s="48" t="s">
        <v>122</v>
      </c>
      <c r="C119" s="47"/>
      <c r="D119" s="47"/>
      <c r="E119" s="47"/>
      <c r="F119" s="47"/>
      <c r="G119" s="136">
        <f t="shared" si="10"/>
        <v>0</v>
      </c>
      <c r="H119" s="136" t="e">
        <f t="shared" si="13"/>
        <v>#DIV/0!</v>
      </c>
      <c r="I119" s="47">
        <f t="shared" si="14"/>
        <v>0</v>
      </c>
      <c r="J119" s="136">
        <f t="shared" si="11"/>
        <v>0</v>
      </c>
      <c r="K119" s="136" t="e">
        <f t="shared" si="15"/>
        <v>#DIV/0!</v>
      </c>
      <c r="L119" s="47">
        <f t="shared" si="16"/>
        <v>0</v>
      </c>
      <c r="M119" s="136">
        <f t="shared" si="12"/>
        <v>0</v>
      </c>
      <c r="N119" s="136" t="e">
        <f t="shared" si="17"/>
        <v>#DIV/0!</v>
      </c>
      <c r="O119" s="47">
        <f t="shared" si="18"/>
        <v>0</v>
      </c>
      <c r="P119" s="137">
        <f t="shared" si="19"/>
        <v>0</v>
      </c>
      <c r="R119" s="138">
        <v>680092.4</v>
      </c>
      <c r="S119" s="139">
        <v>625407.2</v>
      </c>
      <c r="T119" s="139">
        <v>642540.6</v>
      </c>
    </row>
    <row r="120" spans="1:20" ht="29.25" customHeight="1">
      <c r="A120" s="135"/>
      <c r="B120" s="48" t="s">
        <v>132</v>
      </c>
      <c r="C120" s="47">
        <v>2975</v>
      </c>
      <c r="D120" s="156">
        <f>2670</f>
        <v>2670</v>
      </c>
      <c r="E120" s="130">
        <f>((2670/12)*9+((2670/12)*103.4%)*3)-300</f>
        <v>2392.6949999999997</v>
      </c>
      <c r="F120" s="130">
        <f>((2692.7/12)*9+((2692.7/12)*103.7%)*3)-600</f>
        <v>2117.607475</v>
      </c>
      <c r="G120" s="136">
        <f t="shared" si="10"/>
        <v>0.0039259371226615675</v>
      </c>
      <c r="H120" s="136">
        <f t="shared" si="13"/>
        <v>0.8974789915966387</v>
      </c>
      <c r="I120" s="47">
        <f t="shared" si="14"/>
        <v>-305</v>
      </c>
      <c r="J120" s="136">
        <f t="shared" si="11"/>
        <v>0.0038258194021431155</v>
      </c>
      <c r="K120" s="136">
        <f t="shared" si="15"/>
        <v>0.8961404494382021</v>
      </c>
      <c r="L120" s="47">
        <f t="shared" si="16"/>
        <v>-277.3050000000003</v>
      </c>
      <c r="M120" s="136">
        <f t="shared" si="12"/>
        <v>0.0032956788644950994</v>
      </c>
      <c r="N120" s="136">
        <f t="shared" si="17"/>
        <v>0.8850302587667881</v>
      </c>
      <c r="O120" s="47">
        <f t="shared" si="18"/>
        <v>-275.0875249999999</v>
      </c>
      <c r="P120" s="137">
        <f t="shared" si="19"/>
        <v>0.4340510619620083</v>
      </c>
      <c r="R120" s="138">
        <v>680092.4</v>
      </c>
      <c r="S120" s="139">
        <v>625407.2</v>
      </c>
      <c r="T120" s="139">
        <v>642540.6</v>
      </c>
    </row>
    <row r="121" spans="1:20" ht="45" customHeight="1">
      <c r="A121" s="135"/>
      <c r="B121" s="48" t="s">
        <v>133</v>
      </c>
      <c r="C121" s="47">
        <f>16625.2+1842.4+671.1</f>
        <v>19138.7</v>
      </c>
      <c r="D121" s="47">
        <f>21023.9+603.3</f>
        <v>21627.2</v>
      </c>
      <c r="E121" s="47">
        <f>19413.9+444.2</f>
        <v>19858.100000000002</v>
      </c>
      <c r="F121" s="47">
        <f>18796.2+430.5</f>
        <v>19226.7</v>
      </c>
      <c r="G121" s="136">
        <f t="shared" si="10"/>
        <v>0.03180038477124579</v>
      </c>
      <c r="H121" s="136">
        <f t="shared" si="13"/>
        <v>1.130024505321678</v>
      </c>
      <c r="I121" s="47">
        <f t="shared" si="14"/>
        <v>2488.5</v>
      </c>
      <c r="J121" s="136">
        <f t="shared" si="11"/>
        <v>0.031752272759251896</v>
      </c>
      <c r="K121" s="136">
        <f t="shared" si="15"/>
        <v>0.9182002293408301</v>
      </c>
      <c r="L121" s="47">
        <f t="shared" si="16"/>
        <v>-1769.0999999999985</v>
      </c>
      <c r="M121" s="136">
        <f t="shared" si="12"/>
        <v>0.029922934052727564</v>
      </c>
      <c r="N121" s="136">
        <f t="shared" si="17"/>
        <v>0.9682044102910147</v>
      </c>
      <c r="O121" s="47">
        <f t="shared" si="18"/>
        <v>-631.4000000000015</v>
      </c>
      <c r="P121" s="137">
        <f t="shared" si="19"/>
        <v>3.5158461150804294</v>
      </c>
      <c r="R121" s="138">
        <v>680092.4</v>
      </c>
      <c r="S121" s="139">
        <v>625407.2</v>
      </c>
      <c r="T121" s="139">
        <v>642540.6</v>
      </c>
    </row>
    <row r="122" spans="1:20" ht="69.75" customHeight="1">
      <c r="A122" s="135"/>
      <c r="B122" s="48" t="s">
        <v>265</v>
      </c>
      <c r="C122" s="47">
        <v>520</v>
      </c>
      <c r="D122" s="47">
        <f>1253.3-603.3</f>
        <v>650</v>
      </c>
      <c r="E122" s="47">
        <f>1094.2-444.2</f>
        <v>650</v>
      </c>
      <c r="F122" s="47">
        <f>1080.5-430.5</f>
        <v>650</v>
      </c>
      <c r="G122" s="136">
        <f t="shared" si="10"/>
        <v>0.000955752483044951</v>
      </c>
      <c r="H122" s="136">
        <f t="shared" si="13"/>
        <v>1.25</v>
      </c>
      <c r="I122" s="47">
        <f t="shared" si="14"/>
        <v>130</v>
      </c>
      <c r="J122" s="136">
        <f t="shared" si="11"/>
        <v>0.0010393228603700119</v>
      </c>
      <c r="K122" s="136">
        <f t="shared" si="15"/>
        <v>1</v>
      </c>
      <c r="L122" s="47">
        <f t="shared" si="16"/>
        <v>0</v>
      </c>
      <c r="M122" s="136">
        <f t="shared" si="12"/>
        <v>0.0010116092274947296</v>
      </c>
      <c r="N122" s="136">
        <f t="shared" si="17"/>
        <v>1</v>
      </c>
      <c r="O122" s="47">
        <f t="shared" si="18"/>
        <v>0</v>
      </c>
      <c r="P122" s="137">
        <f t="shared" si="19"/>
        <v>0.10566786152633162</v>
      </c>
      <c r="R122" s="138">
        <v>680092.4</v>
      </c>
      <c r="S122" s="139">
        <v>625407.2</v>
      </c>
      <c r="T122" s="139">
        <v>642540.6</v>
      </c>
    </row>
    <row r="123" spans="1:20" ht="40.5" customHeight="1" hidden="1">
      <c r="A123" s="6"/>
      <c r="B123" s="7" t="s">
        <v>134</v>
      </c>
      <c r="C123" s="10">
        <f>0</f>
        <v>0</v>
      </c>
      <c r="D123" s="10">
        <f>0</f>
        <v>0</v>
      </c>
      <c r="E123" s="10">
        <f>0</f>
        <v>0</v>
      </c>
      <c r="F123" s="10">
        <f>0</f>
        <v>0</v>
      </c>
      <c r="G123" s="141">
        <f t="shared" si="10"/>
        <v>0</v>
      </c>
      <c r="H123" s="141" t="e">
        <f t="shared" si="13"/>
        <v>#DIV/0!</v>
      </c>
      <c r="I123" s="10">
        <f t="shared" si="14"/>
        <v>0</v>
      </c>
      <c r="J123" s="141">
        <f t="shared" si="11"/>
        <v>0</v>
      </c>
      <c r="K123" s="141" t="e">
        <f t="shared" si="15"/>
        <v>#DIV/0!</v>
      </c>
      <c r="L123" s="10">
        <f t="shared" si="16"/>
        <v>0</v>
      </c>
      <c r="M123" s="141">
        <f t="shared" si="12"/>
        <v>0</v>
      </c>
      <c r="N123" s="141" t="e">
        <f t="shared" si="17"/>
        <v>#DIV/0!</v>
      </c>
      <c r="O123" s="10">
        <f t="shared" si="18"/>
        <v>0</v>
      </c>
      <c r="P123" s="142">
        <f t="shared" si="19"/>
        <v>0</v>
      </c>
      <c r="R123" s="138">
        <v>680092.4</v>
      </c>
      <c r="S123" s="139">
        <v>625407.2</v>
      </c>
      <c r="T123" s="139">
        <v>642540.6</v>
      </c>
    </row>
    <row r="124" spans="1:20" s="129" customFormat="1" ht="42" customHeight="1">
      <c r="A124" s="50" t="s">
        <v>135</v>
      </c>
      <c r="B124" s="51" t="s">
        <v>315</v>
      </c>
      <c r="C124" s="46">
        <f>C125+C131</f>
        <v>98439.3</v>
      </c>
      <c r="D124" s="46">
        <f>D125+D131</f>
        <v>90445.70000000001</v>
      </c>
      <c r="E124" s="157">
        <f>E125+E131</f>
        <v>86809.2</v>
      </c>
      <c r="F124" s="46">
        <f>F125+F131</f>
        <v>86337.59999999999</v>
      </c>
      <c r="G124" s="125">
        <f t="shared" si="10"/>
        <v>0.13299031131652111</v>
      </c>
      <c r="H124" s="125">
        <f t="shared" si="13"/>
        <v>0.9187966594642588</v>
      </c>
      <c r="I124" s="46">
        <f t="shared" si="14"/>
        <v>-7993.599999999991</v>
      </c>
      <c r="J124" s="125">
        <f t="shared" si="11"/>
        <v>0.1388042862314345</v>
      </c>
      <c r="K124" s="125">
        <f t="shared" si="15"/>
        <v>0.9597935556914258</v>
      </c>
      <c r="L124" s="46">
        <f t="shared" si="16"/>
        <v>-3636.5000000000146</v>
      </c>
      <c r="M124" s="125">
        <f t="shared" si="12"/>
        <v>0.13436909667653685</v>
      </c>
      <c r="N124" s="125">
        <f t="shared" si="17"/>
        <v>0.9945673960824428</v>
      </c>
      <c r="O124" s="46">
        <f t="shared" si="18"/>
        <v>-471.6000000000058</v>
      </c>
      <c r="P124" s="126">
        <f t="shared" si="19"/>
        <v>14.70339031269559</v>
      </c>
      <c r="Q124" s="126">
        <f>D124/C124*100</f>
        <v>91.87966594642589</v>
      </c>
      <c r="R124" s="127">
        <v>680092.4</v>
      </c>
      <c r="S124" s="128">
        <v>625407.2</v>
      </c>
      <c r="T124" s="128">
        <v>642540.6</v>
      </c>
    </row>
    <row r="125" spans="1:20" s="132" customFormat="1" ht="45" customHeight="1">
      <c r="A125" s="95" t="s">
        <v>136</v>
      </c>
      <c r="B125" s="9" t="s">
        <v>266</v>
      </c>
      <c r="C125" s="49">
        <f>C127</f>
        <v>79558.3</v>
      </c>
      <c r="D125" s="49">
        <f>D127</f>
        <v>70217.1</v>
      </c>
      <c r="E125" s="49">
        <f>E127</f>
        <v>71358.7</v>
      </c>
      <c r="F125" s="49">
        <f>F127</f>
        <v>73795.4</v>
      </c>
      <c r="G125" s="98">
        <f t="shared" si="10"/>
        <v>0.10324641181110096</v>
      </c>
      <c r="H125" s="98">
        <f t="shared" si="13"/>
        <v>0.882586731994022</v>
      </c>
      <c r="I125" s="49">
        <f t="shared" si="14"/>
        <v>-9341.199999999997</v>
      </c>
      <c r="J125" s="98">
        <f t="shared" si="11"/>
        <v>0.11409958184043932</v>
      </c>
      <c r="K125" s="98">
        <f t="shared" si="15"/>
        <v>1.0162581479440191</v>
      </c>
      <c r="L125" s="49">
        <f t="shared" si="16"/>
        <v>1141.5999999999913</v>
      </c>
      <c r="M125" s="98">
        <f t="shared" si="12"/>
        <v>0.11484939628717625</v>
      </c>
      <c r="N125" s="98">
        <f t="shared" si="17"/>
        <v>1.0341472027937728</v>
      </c>
      <c r="O125" s="49">
        <f t="shared" si="18"/>
        <v>2436.699999999997</v>
      </c>
      <c r="P125" s="131">
        <f t="shared" si="19"/>
        <v>11.414908922431662</v>
      </c>
      <c r="R125" s="133">
        <v>680092.4</v>
      </c>
      <c r="S125" s="134">
        <v>625407.2</v>
      </c>
      <c r="T125" s="134">
        <v>642540.6</v>
      </c>
    </row>
    <row r="126" spans="1:20" ht="18.75" hidden="1">
      <c r="A126" s="135"/>
      <c r="B126" s="48" t="s">
        <v>84</v>
      </c>
      <c r="C126" s="47"/>
      <c r="D126" s="47"/>
      <c r="E126" s="47"/>
      <c r="F126" s="47"/>
      <c r="G126" s="136">
        <f t="shared" si="10"/>
        <v>0</v>
      </c>
      <c r="H126" s="136" t="e">
        <f t="shared" si="13"/>
        <v>#DIV/0!</v>
      </c>
      <c r="I126" s="47">
        <f t="shared" si="14"/>
        <v>0</v>
      </c>
      <c r="J126" s="136">
        <f t="shared" si="11"/>
        <v>0</v>
      </c>
      <c r="K126" s="136" t="e">
        <f t="shared" si="15"/>
        <v>#DIV/0!</v>
      </c>
      <c r="L126" s="47">
        <f t="shared" si="16"/>
        <v>0</v>
      </c>
      <c r="M126" s="136">
        <f t="shared" si="12"/>
        <v>0</v>
      </c>
      <c r="N126" s="136" t="e">
        <f t="shared" si="17"/>
        <v>#DIV/0!</v>
      </c>
      <c r="O126" s="47">
        <f t="shared" si="18"/>
        <v>0</v>
      </c>
      <c r="P126" s="137">
        <f t="shared" si="19"/>
        <v>0</v>
      </c>
      <c r="R126" s="138">
        <v>680092.4</v>
      </c>
      <c r="S126" s="139">
        <v>625407.2</v>
      </c>
      <c r="T126" s="139">
        <v>642540.6</v>
      </c>
    </row>
    <row r="127" spans="1:20" ht="48.75" customHeight="1">
      <c r="A127" s="135"/>
      <c r="B127" s="93" t="s">
        <v>316</v>
      </c>
      <c r="C127" s="47">
        <f>22258.4+55209.9+2090</f>
        <v>79558.3</v>
      </c>
      <c r="D127" s="47">
        <v>70217.1</v>
      </c>
      <c r="E127" s="47">
        <f>71358.7</f>
        <v>71358.7</v>
      </c>
      <c r="F127" s="47">
        <f>73795.4</f>
        <v>73795.4</v>
      </c>
      <c r="G127" s="136">
        <f t="shared" si="10"/>
        <v>0.10324641181110096</v>
      </c>
      <c r="H127" s="136">
        <f t="shared" si="13"/>
        <v>0.882586731994022</v>
      </c>
      <c r="I127" s="47">
        <f t="shared" si="14"/>
        <v>-9341.199999999997</v>
      </c>
      <c r="J127" s="136">
        <f t="shared" si="11"/>
        <v>0.11409958184043932</v>
      </c>
      <c r="K127" s="136">
        <f t="shared" si="15"/>
        <v>1.0162581479440191</v>
      </c>
      <c r="L127" s="47">
        <f t="shared" si="16"/>
        <v>1141.5999999999913</v>
      </c>
      <c r="M127" s="136">
        <f t="shared" si="12"/>
        <v>0.11484939628717625</v>
      </c>
      <c r="N127" s="136">
        <f t="shared" si="17"/>
        <v>1.0341472027937728</v>
      </c>
      <c r="O127" s="47">
        <f t="shared" si="18"/>
        <v>2436.699999999997</v>
      </c>
      <c r="P127" s="137">
        <f t="shared" si="19"/>
        <v>11.414908922431662</v>
      </c>
      <c r="R127" s="138">
        <v>680092.4</v>
      </c>
      <c r="S127" s="139">
        <v>625407.2</v>
      </c>
      <c r="T127" s="139">
        <v>642540.6</v>
      </c>
    </row>
    <row r="128" spans="1:20" ht="40.5" customHeight="1" hidden="1">
      <c r="A128" s="135"/>
      <c r="B128" s="92" t="s">
        <v>188</v>
      </c>
      <c r="C128" s="20">
        <f>24+114</f>
        <v>138</v>
      </c>
      <c r="D128" s="20"/>
      <c r="E128" s="20"/>
      <c r="F128" s="20"/>
      <c r="G128" s="136">
        <f t="shared" si="10"/>
        <v>0</v>
      </c>
      <c r="H128" s="136">
        <f t="shared" si="13"/>
        <v>0</v>
      </c>
      <c r="I128" s="47">
        <f t="shared" si="14"/>
        <v>-138</v>
      </c>
      <c r="J128" s="136">
        <f t="shared" si="11"/>
        <v>0</v>
      </c>
      <c r="K128" s="136" t="e">
        <f t="shared" si="15"/>
        <v>#DIV/0!</v>
      </c>
      <c r="L128" s="47">
        <f t="shared" si="16"/>
        <v>0</v>
      </c>
      <c r="M128" s="136">
        <f t="shared" si="12"/>
        <v>0</v>
      </c>
      <c r="N128" s="136" t="e">
        <f t="shared" si="17"/>
        <v>#DIV/0!</v>
      </c>
      <c r="O128" s="47">
        <f t="shared" si="18"/>
        <v>0</v>
      </c>
      <c r="P128" s="137">
        <f t="shared" si="19"/>
        <v>0</v>
      </c>
      <c r="R128" s="138">
        <v>680092.4</v>
      </c>
      <c r="S128" s="139">
        <v>625407.2</v>
      </c>
      <c r="T128" s="139">
        <v>642540.6</v>
      </c>
    </row>
    <row r="129" spans="1:20" ht="40.5" customHeight="1" hidden="1">
      <c r="A129" s="135"/>
      <c r="B129" s="143"/>
      <c r="C129" s="20">
        <v>0</v>
      </c>
      <c r="D129" s="20">
        <v>0</v>
      </c>
      <c r="E129" s="20">
        <v>0</v>
      </c>
      <c r="F129" s="20">
        <v>0</v>
      </c>
      <c r="G129" s="136">
        <f t="shared" si="10"/>
        <v>0</v>
      </c>
      <c r="H129" s="136" t="e">
        <f t="shared" si="13"/>
        <v>#DIV/0!</v>
      </c>
      <c r="I129" s="47">
        <f t="shared" si="14"/>
        <v>0</v>
      </c>
      <c r="J129" s="136">
        <f t="shared" si="11"/>
        <v>0</v>
      </c>
      <c r="K129" s="136" t="e">
        <f t="shared" si="15"/>
        <v>#DIV/0!</v>
      </c>
      <c r="L129" s="47">
        <f t="shared" si="16"/>
        <v>0</v>
      </c>
      <c r="M129" s="136">
        <f t="shared" si="12"/>
        <v>0</v>
      </c>
      <c r="N129" s="136" t="e">
        <f t="shared" si="17"/>
        <v>#DIV/0!</v>
      </c>
      <c r="O129" s="47">
        <f t="shared" si="18"/>
        <v>0</v>
      </c>
      <c r="P129" s="137">
        <f t="shared" si="19"/>
        <v>0</v>
      </c>
      <c r="R129" s="138">
        <v>680092.4</v>
      </c>
      <c r="S129" s="139">
        <v>625407.2</v>
      </c>
      <c r="T129" s="139">
        <v>642540.6</v>
      </c>
    </row>
    <row r="130" spans="1:20" ht="40.5" customHeight="1" hidden="1">
      <c r="A130" s="135"/>
      <c r="B130" s="143" t="s">
        <v>137</v>
      </c>
      <c r="C130" s="20"/>
      <c r="D130" s="20"/>
      <c r="E130" s="20"/>
      <c r="F130" s="20"/>
      <c r="G130" s="136">
        <f t="shared" si="10"/>
        <v>0</v>
      </c>
      <c r="H130" s="136" t="e">
        <f t="shared" si="13"/>
        <v>#DIV/0!</v>
      </c>
      <c r="I130" s="47">
        <f t="shared" si="14"/>
        <v>0</v>
      </c>
      <c r="J130" s="136">
        <f t="shared" si="11"/>
        <v>0</v>
      </c>
      <c r="K130" s="136" t="e">
        <f t="shared" si="15"/>
        <v>#DIV/0!</v>
      </c>
      <c r="L130" s="47">
        <f t="shared" si="16"/>
        <v>0</v>
      </c>
      <c r="M130" s="136">
        <f t="shared" si="12"/>
        <v>0</v>
      </c>
      <c r="N130" s="136" t="e">
        <f t="shared" si="17"/>
        <v>#DIV/0!</v>
      </c>
      <c r="O130" s="47">
        <f t="shared" si="18"/>
        <v>0</v>
      </c>
      <c r="P130" s="137">
        <f t="shared" si="19"/>
        <v>0</v>
      </c>
      <c r="R130" s="138">
        <v>680092.4</v>
      </c>
      <c r="S130" s="139">
        <v>625407.2</v>
      </c>
      <c r="T130" s="139">
        <v>642540.6</v>
      </c>
    </row>
    <row r="131" spans="1:20" s="132" customFormat="1" ht="29.25" customHeight="1">
      <c r="A131" s="95" t="s">
        <v>138</v>
      </c>
      <c r="B131" s="9" t="s">
        <v>317</v>
      </c>
      <c r="C131" s="49">
        <f>C133+C134+C135</f>
        <v>18881</v>
      </c>
      <c r="D131" s="49">
        <f>D133+D134+D135</f>
        <v>20228.6</v>
      </c>
      <c r="E131" s="49">
        <f>E133+E134+E135</f>
        <v>15450.499999999998</v>
      </c>
      <c r="F131" s="49">
        <f>F133+F134+F135</f>
        <v>12542.2</v>
      </c>
      <c r="G131" s="98">
        <f t="shared" si="10"/>
        <v>0.029743899505420144</v>
      </c>
      <c r="H131" s="98">
        <f t="shared" si="13"/>
        <v>1.0713733382765742</v>
      </c>
      <c r="I131" s="49">
        <f t="shared" si="14"/>
        <v>1347.5999999999985</v>
      </c>
      <c r="J131" s="98">
        <f t="shared" si="11"/>
        <v>0.024704704390995178</v>
      </c>
      <c r="K131" s="98">
        <f t="shared" si="15"/>
        <v>0.763794825148552</v>
      </c>
      <c r="L131" s="49">
        <f t="shared" si="16"/>
        <v>-4778.1</v>
      </c>
      <c r="M131" s="98">
        <f t="shared" si="12"/>
        <v>0.01951970038936061</v>
      </c>
      <c r="N131" s="98">
        <f t="shared" si="17"/>
        <v>0.8117666094948385</v>
      </c>
      <c r="O131" s="49">
        <f t="shared" si="18"/>
        <v>-2908.2999999999975</v>
      </c>
      <c r="P131" s="131">
        <f t="shared" si="19"/>
        <v>3.288481390263925</v>
      </c>
      <c r="R131" s="133">
        <v>680092.4</v>
      </c>
      <c r="S131" s="134">
        <v>625407.2</v>
      </c>
      <c r="T131" s="134">
        <v>642540.6</v>
      </c>
    </row>
    <row r="132" spans="1:20" ht="18.75" hidden="1">
      <c r="A132" s="135"/>
      <c r="B132" s="48" t="s">
        <v>122</v>
      </c>
      <c r="C132" s="47"/>
      <c r="D132" s="47"/>
      <c r="E132" s="47"/>
      <c r="F132" s="47"/>
      <c r="G132" s="136">
        <f t="shared" si="10"/>
        <v>0</v>
      </c>
      <c r="H132" s="136" t="e">
        <f t="shared" si="13"/>
        <v>#DIV/0!</v>
      </c>
      <c r="I132" s="47">
        <f t="shared" si="14"/>
        <v>0</v>
      </c>
      <c r="J132" s="136">
        <f t="shared" si="11"/>
        <v>0</v>
      </c>
      <c r="K132" s="136" t="e">
        <f t="shared" si="15"/>
        <v>#DIV/0!</v>
      </c>
      <c r="L132" s="47">
        <f t="shared" si="16"/>
        <v>0</v>
      </c>
      <c r="M132" s="136">
        <f t="shared" si="12"/>
        <v>0</v>
      </c>
      <c r="N132" s="136" t="e">
        <f t="shared" si="17"/>
        <v>#DIV/0!</v>
      </c>
      <c r="O132" s="47">
        <f t="shared" si="18"/>
        <v>0</v>
      </c>
      <c r="P132" s="137">
        <f t="shared" si="19"/>
        <v>0</v>
      </c>
      <c r="R132" s="138">
        <v>680092.4</v>
      </c>
      <c r="S132" s="139">
        <v>625407.2</v>
      </c>
      <c r="T132" s="139">
        <v>642540.6</v>
      </c>
    </row>
    <row r="133" spans="1:20" ht="24.75" customHeight="1">
      <c r="A133" s="135"/>
      <c r="B133" s="48" t="s">
        <v>139</v>
      </c>
      <c r="C133" s="47">
        <f>910</f>
        <v>910</v>
      </c>
      <c r="D133" s="47">
        <f>1050</f>
        <v>1050</v>
      </c>
      <c r="E133" s="47">
        <f>1003.9</f>
        <v>1003.9</v>
      </c>
      <c r="F133" s="47">
        <f>936.2</f>
        <v>936.2</v>
      </c>
      <c r="G133" s="136">
        <f t="shared" si="10"/>
        <v>0.0015439078572264593</v>
      </c>
      <c r="H133" s="136">
        <f t="shared" si="13"/>
        <v>1.1538461538461537</v>
      </c>
      <c r="I133" s="47">
        <f t="shared" si="14"/>
        <v>140</v>
      </c>
      <c r="J133" s="136">
        <f t="shared" si="11"/>
        <v>0.001605194183885315</v>
      </c>
      <c r="K133" s="136">
        <f t="shared" si="15"/>
        <v>0.9560952380952381</v>
      </c>
      <c r="L133" s="47">
        <f t="shared" si="16"/>
        <v>-46.10000000000002</v>
      </c>
      <c r="M133" s="136">
        <f t="shared" si="12"/>
        <v>0.0014570285519701013</v>
      </c>
      <c r="N133" s="136">
        <f t="shared" si="17"/>
        <v>0.9325630042832952</v>
      </c>
      <c r="O133" s="47">
        <f t="shared" si="18"/>
        <v>-67.69999999999993</v>
      </c>
      <c r="P133" s="137">
        <f t="shared" si="19"/>
        <v>0.170694237850228</v>
      </c>
      <c r="R133" s="138">
        <v>680092.4</v>
      </c>
      <c r="S133" s="139">
        <v>625407.2</v>
      </c>
      <c r="T133" s="139">
        <v>642540.6</v>
      </c>
    </row>
    <row r="134" spans="1:20" ht="50.25" customHeight="1">
      <c r="A134" s="135"/>
      <c r="B134" s="48" t="s">
        <v>133</v>
      </c>
      <c r="C134" s="47">
        <f>17971-590</f>
        <v>17381</v>
      </c>
      <c r="D134" s="47">
        <f>15161.3+3317.3</f>
        <v>18478.6</v>
      </c>
      <c r="E134" s="47">
        <f>2699.3+8700-200+2847.3</f>
        <v>14046.599999999999</v>
      </c>
      <c r="F134" s="47">
        <f>2794.4+13400-200-4508.4</f>
        <v>11486</v>
      </c>
      <c r="G134" s="136">
        <f t="shared" si="10"/>
        <v>0.027170719743376044</v>
      </c>
      <c r="H134" s="136">
        <f t="shared" si="13"/>
        <v>1.0631494160289972</v>
      </c>
      <c r="I134" s="47">
        <f t="shared" si="14"/>
        <v>1097.5999999999985</v>
      </c>
      <c r="J134" s="136">
        <f t="shared" si="11"/>
        <v>0.022459926908420625</v>
      </c>
      <c r="K134" s="136">
        <f t="shared" si="15"/>
        <v>0.7601549900966523</v>
      </c>
      <c r="L134" s="47">
        <f t="shared" si="16"/>
        <v>-4432</v>
      </c>
      <c r="M134" s="136">
        <f t="shared" si="12"/>
        <v>0.017875913210776098</v>
      </c>
      <c r="N134" s="136">
        <f t="shared" si="17"/>
        <v>0.8177067760169722</v>
      </c>
      <c r="O134" s="47">
        <f t="shared" si="18"/>
        <v>-2560.5999999999985</v>
      </c>
      <c r="P134" s="137">
        <f t="shared" si="19"/>
        <v>3.003990993846879</v>
      </c>
      <c r="R134" s="138">
        <v>680092.4</v>
      </c>
      <c r="S134" s="139">
        <v>625407.2</v>
      </c>
      <c r="T134" s="139">
        <v>642540.6</v>
      </c>
    </row>
    <row r="135" spans="1:20" ht="42.75" customHeight="1">
      <c r="A135" s="135"/>
      <c r="B135" s="48" t="s">
        <v>318</v>
      </c>
      <c r="C135" s="47">
        <f>0+590</f>
        <v>590</v>
      </c>
      <c r="D135" s="47">
        <f>700</f>
        <v>700</v>
      </c>
      <c r="E135" s="47">
        <f>400</f>
        <v>400</v>
      </c>
      <c r="F135" s="47">
        <f>120</f>
        <v>120</v>
      </c>
      <c r="G135" s="136">
        <f t="shared" si="10"/>
        <v>0.0010292719048176394</v>
      </c>
      <c r="H135" s="136">
        <f t="shared" si="13"/>
        <v>1.1864406779661016</v>
      </c>
      <c r="I135" s="47">
        <f t="shared" si="14"/>
        <v>110</v>
      </c>
      <c r="J135" s="136">
        <f t="shared" si="11"/>
        <v>0.000639583298689238</v>
      </c>
      <c r="K135" s="136">
        <f t="shared" si="15"/>
        <v>0.5714285714285714</v>
      </c>
      <c r="L135" s="47">
        <f t="shared" si="16"/>
        <v>-300</v>
      </c>
      <c r="M135" s="136">
        <f t="shared" si="12"/>
        <v>0.00018675862661441162</v>
      </c>
      <c r="N135" s="136">
        <f t="shared" si="17"/>
        <v>0.3</v>
      </c>
      <c r="O135" s="47">
        <f t="shared" si="18"/>
        <v>-280</v>
      </c>
      <c r="P135" s="137">
        <f t="shared" si="19"/>
        <v>0.11379615856681867</v>
      </c>
      <c r="R135" s="138">
        <v>680092.4</v>
      </c>
      <c r="S135" s="139">
        <v>625407.2</v>
      </c>
      <c r="T135" s="139">
        <v>642540.6</v>
      </c>
    </row>
    <row r="136" spans="1:20" s="60" customFormat="1" ht="18.75" hidden="1">
      <c r="A136" s="6" t="s">
        <v>140</v>
      </c>
      <c r="B136" s="7" t="s">
        <v>141</v>
      </c>
      <c r="C136" s="10">
        <v>0</v>
      </c>
      <c r="D136" s="10">
        <v>0</v>
      </c>
      <c r="E136" s="10">
        <v>0</v>
      </c>
      <c r="F136" s="10">
        <v>0</v>
      </c>
      <c r="G136" s="141">
        <f t="shared" si="10"/>
        <v>0</v>
      </c>
      <c r="H136" s="141" t="e">
        <f t="shared" si="13"/>
        <v>#DIV/0!</v>
      </c>
      <c r="I136" s="10">
        <f t="shared" si="14"/>
        <v>0</v>
      </c>
      <c r="J136" s="141">
        <f t="shared" si="11"/>
        <v>0</v>
      </c>
      <c r="K136" s="141" t="e">
        <f t="shared" si="15"/>
        <v>#DIV/0!</v>
      </c>
      <c r="L136" s="10">
        <f t="shared" si="16"/>
        <v>0</v>
      </c>
      <c r="M136" s="141">
        <f t="shared" si="12"/>
        <v>0</v>
      </c>
      <c r="N136" s="141" t="e">
        <f t="shared" si="17"/>
        <v>#DIV/0!</v>
      </c>
      <c r="O136" s="10">
        <f t="shared" si="18"/>
        <v>0</v>
      </c>
      <c r="P136" s="142">
        <f t="shared" si="19"/>
        <v>0</v>
      </c>
      <c r="R136" s="138">
        <v>680092.4</v>
      </c>
      <c r="S136" s="139">
        <v>625407.2</v>
      </c>
      <c r="T136" s="139">
        <v>642540.6</v>
      </c>
    </row>
    <row r="137" spans="1:20" ht="18.75" hidden="1">
      <c r="A137" s="6" t="s">
        <v>142</v>
      </c>
      <c r="B137" s="7" t="s">
        <v>143</v>
      </c>
      <c r="C137" s="10"/>
      <c r="D137" s="10"/>
      <c r="E137" s="10"/>
      <c r="F137" s="10"/>
      <c r="G137" s="141">
        <f t="shared" si="10"/>
        <v>0</v>
      </c>
      <c r="H137" s="141" t="e">
        <f t="shared" si="13"/>
        <v>#DIV/0!</v>
      </c>
      <c r="I137" s="10">
        <f t="shared" si="14"/>
        <v>0</v>
      </c>
      <c r="J137" s="141">
        <f t="shared" si="11"/>
        <v>0</v>
      </c>
      <c r="K137" s="141" t="e">
        <f t="shared" si="15"/>
        <v>#DIV/0!</v>
      </c>
      <c r="L137" s="10">
        <f t="shared" si="16"/>
        <v>0</v>
      </c>
      <c r="M137" s="141">
        <f t="shared" si="12"/>
        <v>0</v>
      </c>
      <c r="N137" s="141" t="e">
        <f t="shared" si="17"/>
        <v>#DIV/0!</v>
      </c>
      <c r="O137" s="10">
        <f t="shared" si="18"/>
        <v>0</v>
      </c>
      <c r="P137" s="142">
        <f t="shared" si="19"/>
        <v>0</v>
      </c>
      <c r="R137" s="138">
        <v>680092.4</v>
      </c>
      <c r="S137" s="139">
        <v>625407.2</v>
      </c>
      <c r="T137" s="139">
        <v>642540.6</v>
      </c>
    </row>
    <row r="138" spans="1:20" ht="37.5" hidden="1">
      <c r="A138" s="6" t="s">
        <v>144</v>
      </c>
      <c r="B138" s="7" t="s">
        <v>145</v>
      </c>
      <c r="C138" s="10"/>
      <c r="D138" s="10"/>
      <c r="E138" s="10"/>
      <c r="F138" s="10"/>
      <c r="G138" s="141">
        <f t="shared" si="10"/>
        <v>0</v>
      </c>
      <c r="H138" s="141" t="e">
        <f t="shared" si="13"/>
        <v>#DIV/0!</v>
      </c>
      <c r="I138" s="10">
        <f t="shared" si="14"/>
        <v>0</v>
      </c>
      <c r="J138" s="141">
        <f t="shared" si="11"/>
        <v>0</v>
      </c>
      <c r="K138" s="141" t="e">
        <f t="shared" si="15"/>
        <v>#DIV/0!</v>
      </c>
      <c r="L138" s="10">
        <f t="shared" si="16"/>
        <v>0</v>
      </c>
      <c r="M138" s="141">
        <f t="shared" si="12"/>
        <v>0</v>
      </c>
      <c r="N138" s="141" t="e">
        <f t="shared" si="17"/>
        <v>#DIV/0!</v>
      </c>
      <c r="O138" s="10">
        <f t="shared" si="18"/>
        <v>0</v>
      </c>
      <c r="P138" s="142">
        <f t="shared" si="19"/>
        <v>0</v>
      </c>
      <c r="R138" s="138">
        <v>680092.4</v>
      </c>
      <c r="S138" s="139">
        <v>625407.2</v>
      </c>
      <c r="T138" s="139">
        <v>642540.6</v>
      </c>
    </row>
    <row r="139" spans="1:20" ht="37.5" hidden="1">
      <c r="A139" s="6" t="s">
        <v>146</v>
      </c>
      <c r="B139" s="7" t="s">
        <v>147</v>
      </c>
      <c r="C139" s="10"/>
      <c r="D139" s="10"/>
      <c r="E139" s="10"/>
      <c r="F139" s="10"/>
      <c r="G139" s="141">
        <f t="shared" si="10"/>
        <v>0</v>
      </c>
      <c r="H139" s="141" t="e">
        <f t="shared" si="13"/>
        <v>#DIV/0!</v>
      </c>
      <c r="I139" s="10">
        <f t="shared" si="14"/>
        <v>0</v>
      </c>
      <c r="J139" s="141">
        <f t="shared" si="11"/>
        <v>0</v>
      </c>
      <c r="K139" s="141" t="e">
        <f t="shared" si="15"/>
        <v>#DIV/0!</v>
      </c>
      <c r="L139" s="10">
        <f t="shared" si="16"/>
        <v>0</v>
      </c>
      <c r="M139" s="141">
        <f t="shared" si="12"/>
        <v>0</v>
      </c>
      <c r="N139" s="141" t="e">
        <f t="shared" si="17"/>
        <v>#DIV/0!</v>
      </c>
      <c r="O139" s="10">
        <f t="shared" si="18"/>
        <v>0</v>
      </c>
      <c r="P139" s="142">
        <f t="shared" si="19"/>
        <v>0</v>
      </c>
      <c r="R139" s="138">
        <v>680092.4</v>
      </c>
      <c r="S139" s="139">
        <v>625407.2</v>
      </c>
      <c r="T139" s="139">
        <v>642540.6</v>
      </c>
    </row>
    <row r="140" spans="1:20" ht="37.5" hidden="1">
      <c r="A140" s="6" t="s">
        <v>148</v>
      </c>
      <c r="B140" s="7" t="s">
        <v>149</v>
      </c>
      <c r="C140" s="10" t="s">
        <v>150</v>
      </c>
      <c r="D140" s="10" t="s">
        <v>150</v>
      </c>
      <c r="E140" s="10" t="s">
        <v>150</v>
      </c>
      <c r="F140" s="10" t="s">
        <v>150</v>
      </c>
      <c r="G140" s="141" t="e">
        <f t="shared" si="10"/>
        <v>#VALUE!</v>
      </c>
      <c r="H140" s="141" t="e">
        <f t="shared" si="13"/>
        <v>#VALUE!</v>
      </c>
      <c r="I140" s="10" t="e">
        <f t="shared" si="14"/>
        <v>#VALUE!</v>
      </c>
      <c r="J140" s="141" t="e">
        <f t="shared" si="11"/>
        <v>#VALUE!</v>
      </c>
      <c r="K140" s="141" t="e">
        <f t="shared" si="15"/>
        <v>#VALUE!</v>
      </c>
      <c r="L140" s="10" t="e">
        <f t="shared" si="16"/>
        <v>#VALUE!</v>
      </c>
      <c r="M140" s="141" t="e">
        <f t="shared" si="12"/>
        <v>#VALUE!</v>
      </c>
      <c r="N140" s="141" t="e">
        <f t="shared" si="17"/>
        <v>#VALUE!</v>
      </c>
      <c r="O140" s="10" t="e">
        <f t="shared" si="18"/>
        <v>#VALUE!</v>
      </c>
      <c r="P140" s="142" t="e">
        <f t="shared" si="19"/>
        <v>#VALUE!</v>
      </c>
      <c r="R140" s="138">
        <v>680092.4</v>
      </c>
      <c r="S140" s="139">
        <v>625407.2</v>
      </c>
      <c r="T140" s="139">
        <v>642540.6</v>
      </c>
    </row>
    <row r="141" spans="1:20" ht="18.75" hidden="1">
      <c r="A141" s="6"/>
      <c r="B141" s="7" t="s">
        <v>122</v>
      </c>
      <c r="C141" s="10"/>
      <c r="D141" s="10"/>
      <c r="E141" s="10"/>
      <c r="F141" s="10"/>
      <c r="G141" s="141">
        <f t="shared" si="10"/>
        <v>0</v>
      </c>
      <c r="H141" s="141" t="e">
        <f t="shared" si="13"/>
        <v>#DIV/0!</v>
      </c>
      <c r="I141" s="10">
        <f t="shared" si="14"/>
        <v>0</v>
      </c>
      <c r="J141" s="141">
        <f t="shared" si="11"/>
        <v>0</v>
      </c>
      <c r="K141" s="141" t="e">
        <f t="shared" si="15"/>
        <v>#DIV/0!</v>
      </c>
      <c r="L141" s="10">
        <f t="shared" si="16"/>
        <v>0</v>
      </c>
      <c r="M141" s="141">
        <f t="shared" si="12"/>
        <v>0</v>
      </c>
      <c r="N141" s="141" t="e">
        <f t="shared" si="17"/>
        <v>#DIV/0!</v>
      </c>
      <c r="O141" s="10">
        <f t="shared" si="18"/>
        <v>0</v>
      </c>
      <c r="P141" s="142">
        <f t="shared" si="19"/>
        <v>0</v>
      </c>
      <c r="R141" s="138">
        <v>680092.4</v>
      </c>
      <c r="S141" s="139">
        <v>625407.2</v>
      </c>
      <c r="T141" s="139">
        <v>642540.6</v>
      </c>
    </row>
    <row r="142" spans="1:20" ht="18.75" hidden="1">
      <c r="A142" s="6"/>
      <c r="B142" s="7" t="s">
        <v>132</v>
      </c>
      <c r="C142" s="10"/>
      <c r="D142" s="10"/>
      <c r="E142" s="10"/>
      <c r="F142" s="10"/>
      <c r="G142" s="141">
        <f t="shared" si="10"/>
        <v>0</v>
      </c>
      <c r="H142" s="141" t="e">
        <f t="shared" si="13"/>
        <v>#DIV/0!</v>
      </c>
      <c r="I142" s="10">
        <f t="shared" si="14"/>
        <v>0</v>
      </c>
      <c r="J142" s="141">
        <f t="shared" si="11"/>
        <v>0</v>
      </c>
      <c r="K142" s="141" t="e">
        <f t="shared" si="15"/>
        <v>#DIV/0!</v>
      </c>
      <c r="L142" s="10">
        <f t="shared" si="16"/>
        <v>0</v>
      </c>
      <c r="M142" s="141">
        <f t="shared" si="12"/>
        <v>0</v>
      </c>
      <c r="N142" s="141" t="e">
        <f t="shared" si="17"/>
        <v>#DIV/0!</v>
      </c>
      <c r="O142" s="10">
        <f t="shared" si="18"/>
        <v>0</v>
      </c>
      <c r="P142" s="142">
        <f t="shared" si="19"/>
        <v>0</v>
      </c>
      <c r="R142" s="138">
        <v>680092.4</v>
      </c>
      <c r="S142" s="139">
        <v>625407.2</v>
      </c>
      <c r="T142" s="139">
        <v>642540.6</v>
      </c>
    </row>
    <row r="143" spans="1:20" ht="18.75" hidden="1">
      <c r="A143" s="6"/>
      <c r="B143" s="7" t="s">
        <v>91</v>
      </c>
      <c r="C143" s="10"/>
      <c r="D143" s="10"/>
      <c r="E143" s="10"/>
      <c r="F143" s="10"/>
      <c r="G143" s="141">
        <f t="shared" si="10"/>
        <v>0</v>
      </c>
      <c r="H143" s="141" t="e">
        <f t="shared" si="13"/>
        <v>#DIV/0!</v>
      </c>
      <c r="I143" s="10">
        <f t="shared" si="14"/>
        <v>0</v>
      </c>
      <c r="J143" s="141">
        <f t="shared" si="11"/>
        <v>0</v>
      </c>
      <c r="K143" s="141" t="e">
        <f t="shared" si="15"/>
        <v>#DIV/0!</v>
      </c>
      <c r="L143" s="10">
        <f t="shared" si="16"/>
        <v>0</v>
      </c>
      <c r="M143" s="141">
        <f t="shared" si="12"/>
        <v>0</v>
      </c>
      <c r="N143" s="141" t="e">
        <f t="shared" si="17"/>
        <v>#DIV/0!</v>
      </c>
      <c r="O143" s="10">
        <f t="shared" si="18"/>
        <v>0</v>
      </c>
      <c r="P143" s="142">
        <f t="shared" si="19"/>
        <v>0</v>
      </c>
      <c r="R143" s="138">
        <v>680092.4</v>
      </c>
      <c r="S143" s="139">
        <v>625407.2</v>
      </c>
      <c r="T143" s="139">
        <v>642540.6</v>
      </c>
    </row>
    <row r="144" spans="1:20" s="129" customFormat="1" ht="36.75" customHeight="1">
      <c r="A144" s="50" t="s">
        <v>151</v>
      </c>
      <c r="B144" s="51" t="s">
        <v>152</v>
      </c>
      <c r="C144" s="46">
        <f>C145+C146+C152</f>
        <v>19916.600000000002</v>
      </c>
      <c r="D144" s="46">
        <f>D145+D146+D152</f>
        <v>23239</v>
      </c>
      <c r="E144" s="46">
        <f>E145+E146+E152</f>
        <v>23247.4</v>
      </c>
      <c r="F144" s="46">
        <f>F145+F146+F152</f>
        <v>22869.3</v>
      </c>
      <c r="G144" s="125">
        <f aca="true" t="shared" si="20" ref="G144:G172">D144/R144</f>
        <v>0.034170356851510174</v>
      </c>
      <c r="H144" s="125">
        <f t="shared" si="13"/>
        <v>1.1668156211401544</v>
      </c>
      <c r="I144" s="46">
        <f t="shared" si="14"/>
        <v>3322.399999999998</v>
      </c>
      <c r="J144" s="125">
        <f aca="true" t="shared" si="21" ref="J144:J172">E144/S144</f>
        <v>0.03717162194487048</v>
      </c>
      <c r="K144" s="125">
        <f t="shared" si="15"/>
        <v>1.0003614613365464</v>
      </c>
      <c r="L144" s="46">
        <f t="shared" si="16"/>
        <v>8.400000000001455</v>
      </c>
      <c r="M144" s="125">
        <f aca="true" t="shared" si="22" ref="M144:M172">F144/T144</f>
        <v>0.035591992163608026</v>
      </c>
      <c r="N144" s="125">
        <f t="shared" si="17"/>
        <v>0.9837358156180905</v>
      </c>
      <c r="O144" s="46">
        <f t="shared" si="18"/>
        <v>-378.1000000000022</v>
      </c>
      <c r="P144" s="126">
        <f t="shared" si="19"/>
        <v>3.7778698984775696</v>
      </c>
      <c r="Q144" s="126">
        <f>D144/C144*100</f>
        <v>116.68156211401543</v>
      </c>
      <c r="R144" s="127">
        <v>680092.4</v>
      </c>
      <c r="S144" s="128">
        <v>625407.2</v>
      </c>
      <c r="T144" s="128">
        <v>642540.6</v>
      </c>
    </row>
    <row r="145" spans="1:20" s="132" customFormat="1" ht="46.5" customHeight="1">
      <c r="A145" s="95" t="s">
        <v>153</v>
      </c>
      <c r="B145" s="9" t="s">
        <v>267</v>
      </c>
      <c r="C145" s="49">
        <v>1400</v>
      </c>
      <c r="D145" s="49">
        <v>1686</v>
      </c>
      <c r="E145" s="49">
        <v>1686</v>
      </c>
      <c r="F145" s="49">
        <v>1386</v>
      </c>
      <c r="G145" s="98">
        <f t="shared" si="20"/>
        <v>0.0024790749021750573</v>
      </c>
      <c r="H145" s="98">
        <f t="shared" si="13"/>
        <v>1.2042857142857142</v>
      </c>
      <c r="I145" s="49">
        <f t="shared" si="14"/>
        <v>286</v>
      </c>
      <c r="J145" s="98">
        <f t="shared" si="21"/>
        <v>0.0026958436039751384</v>
      </c>
      <c r="K145" s="98">
        <f t="shared" si="15"/>
        <v>1</v>
      </c>
      <c r="L145" s="49">
        <f t="shared" si="16"/>
        <v>0</v>
      </c>
      <c r="M145" s="98">
        <f t="shared" si="22"/>
        <v>0.002157062137396454</v>
      </c>
      <c r="N145" s="98">
        <f t="shared" si="17"/>
        <v>0.8220640569395018</v>
      </c>
      <c r="O145" s="49">
        <f t="shared" si="18"/>
        <v>-300</v>
      </c>
      <c r="P145" s="131">
        <f t="shared" si="19"/>
        <v>0.27408617620522324</v>
      </c>
      <c r="R145" s="133">
        <v>680092.4</v>
      </c>
      <c r="S145" s="134">
        <v>625407.2</v>
      </c>
      <c r="T145" s="134">
        <v>642540.6</v>
      </c>
    </row>
    <row r="146" spans="1:20" s="132" customFormat="1" ht="34.5" customHeight="1">
      <c r="A146" s="95" t="s">
        <v>154</v>
      </c>
      <c r="B146" s="9" t="s">
        <v>319</v>
      </c>
      <c r="C146" s="49">
        <f>C147+C148+C150+C151</f>
        <v>14589.2</v>
      </c>
      <c r="D146" s="49">
        <f>D147+D148+D149+D150+D151</f>
        <v>15081.3</v>
      </c>
      <c r="E146" s="49">
        <f>E147+E148+E149+E150+E151</f>
        <v>15621.2</v>
      </c>
      <c r="F146" s="49">
        <f>F147+F148+F149+F150+F151</f>
        <v>16056.3</v>
      </c>
      <c r="G146" s="98">
        <f t="shared" si="20"/>
        <v>0.02217536911160895</v>
      </c>
      <c r="H146" s="98">
        <f t="shared" si="13"/>
        <v>1.0337304307295807</v>
      </c>
      <c r="I146" s="49">
        <f t="shared" si="14"/>
        <v>492.09999999999854</v>
      </c>
      <c r="J146" s="98">
        <f t="shared" si="21"/>
        <v>0.024977646563710813</v>
      </c>
      <c r="K146" s="98">
        <f t="shared" si="15"/>
        <v>1.0357993011212563</v>
      </c>
      <c r="L146" s="49">
        <f t="shared" si="16"/>
        <v>539.9000000000015</v>
      </c>
      <c r="M146" s="98">
        <f t="shared" si="22"/>
        <v>0.02498877113757481</v>
      </c>
      <c r="N146" s="98">
        <f t="shared" si="17"/>
        <v>1.0278531738918903</v>
      </c>
      <c r="O146" s="49">
        <f t="shared" si="18"/>
        <v>435.09999999999854</v>
      </c>
      <c r="P146" s="131">
        <f t="shared" si="19"/>
        <v>2.451705723133946</v>
      </c>
      <c r="R146" s="133">
        <v>680092.4</v>
      </c>
      <c r="S146" s="134">
        <v>625407.2</v>
      </c>
      <c r="T146" s="134">
        <v>642540.6</v>
      </c>
    </row>
    <row r="147" spans="1:20" ht="36" customHeight="1">
      <c r="A147" s="135"/>
      <c r="B147" s="48" t="s">
        <v>320</v>
      </c>
      <c r="C147" s="47">
        <v>14504.2</v>
      </c>
      <c r="D147" s="47">
        <v>14727.3</v>
      </c>
      <c r="E147" s="47">
        <v>15272.2</v>
      </c>
      <c r="F147" s="47">
        <v>15837.3</v>
      </c>
      <c r="G147" s="136">
        <f t="shared" si="20"/>
        <v>0.021654851605458315</v>
      </c>
      <c r="H147" s="136">
        <f t="shared" si="13"/>
        <v>1.015381751492671</v>
      </c>
      <c r="I147" s="47">
        <f t="shared" si="14"/>
        <v>223.09999999999854</v>
      </c>
      <c r="J147" s="136">
        <f t="shared" si="21"/>
        <v>0.024419610135604453</v>
      </c>
      <c r="K147" s="136">
        <f t="shared" si="15"/>
        <v>1.036999314198801</v>
      </c>
      <c r="L147" s="47">
        <f t="shared" si="16"/>
        <v>544.9000000000015</v>
      </c>
      <c r="M147" s="136">
        <f t="shared" si="22"/>
        <v>0.024647936644003506</v>
      </c>
      <c r="N147" s="136">
        <f t="shared" si="17"/>
        <v>1.0370018726836996</v>
      </c>
      <c r="O147" s="47">
        <f t="shared" si="18"/>
        <v>565.0999999999985</v>
      </c>
      <c r="P147" s="137">
        <f t="shared" si="19"/>
        <v>2.3941573800872975</v>
      </c>
      <c r="R147" s="138">
        <v>680092.4</v>
      </c>
      <c r="S147" s="139">
        <v>625407.2</v>
      </c>
      <c r="T147" s="139">
        <v>642540.6</v>
      </c>
    </row>
    <row r="148" spans="1:20" ht="78" customHeight="1">
      <c r="A148" s="135"/>
      <c r="B148" s="48" t="s">
        <v>321</v>
      </c>
      <c r="C148" s="47">
        <v>55</v>
      </c>
      <c r="D148" s="47">
        <v>185</v>
      </c>
      <c r="E148" s="47">
        <v>185</v>
      </c>
      <c r="F148" s="47">
        <v>105</v>
      </c>
      <c r="G148" s="136">
        <f t="shared" si="20"/>
        <v>0.00027202186055894756</v>
      </c>
      <c r="H148" s="136">
        <f t="shared" si="13"/>
        <v>3.3636363636363638</v>
      </c>
      <c r="I148" s="47">
        <f t="shared" si="14"/>
        <v>130</v>
      </c>
      <c r="J148" s="136">
        <f t="shared" si="21"/>
        <v>0.0002958072756437726</v>
      </c>
      <c r="K148" s="136">
        <f t="shared" si="15"/>
        <v>1</v>
      </c>
      <c r="L148" s="47">
        <f t="shared" si="16"/>
        <v>0</v>
      </c>
      <c r="M148" s="136">
        <f t="shared" si="22"/>
        <v>0.00016341379828761017</v>
      </c>
      <c r="N148" s="136">
        <f t="shared" si="17"/>
        <v>0.5675675675675675</v>
      </c>
      <c r="O148" s="47">
        <f t="shared" si="18"/>
        <v>-80</v>
      </c>
      <c r="P148" s="137">
        <f t="shared" si="19"/>
        <v>0.030074699049802076</v>
      </c>
      <c r="R148" s="138">
        <v>680092.4</v>
      </c>
      <c r="S148" s="139">
        <v>625407.2</v>
      </c>
      <c r="T148" s="139">
        <v>642540.6</v>
      </c>
    </row>
    <row r="149" spans="1:20" ht="29.25" customHeight="1">
      <c r="A149" s="135"/>
      <c r="B149" s="158" t="s">
        <v>322</v>
      </c>
      <c r="C149" s="47"/>
      <c r="D149" s="47">
        <v>154</v>
      </c>
      <c r="E149" s="47">
        <v>154</v>
      </c>
      <c r="F149" s="47">
        <v>104</v>
      </c>
      <c r="G149" s="136"/>
      <c r="H149" s="136"/>
      <c r="I149" s="47"/>
      <c r="J149" s="136"/>
      <c r="K149" s="136"/>
      <c r="L149" s="47"/>
      <c r="M149" s="136"/>
      <c r="N149" s="136"/>
      <c r="O149" s="47"/>
      <c r="P149" s="137"/>
      <c r="R149" s="138"/>
      <c r="S149" s="139"/>
      <c r="T149" s="139"/>
    </row>
    <row r="150" spans="1:20" ht="18.75">
      <c r="A150" s="135"/>
      <c r="B150" s="48" t="s">
        <v>155</v>
      </c>
      <c r="C150" s="47"/>
      <c r="D150" s="47"/>
      <c r="E150" s="47"/>
      <c r="F150" s="47"/>
      <c r="G150" s="136">
        <f t="shared" si="20"/>
        <v>0</v>
      </c>
      <c r="H150" s="136" t="e">
        <f t="shared" si="13"/>
        <v>#DIV/0!</v>
      </c>
      <c r="I150" s="47">
        <f t="shared" si="14"/>
        <v>0</v>
      </c>
      <c r="J150" s="136">
        <f t="shared" si="21"/>
        <v>0</v>
      </c>
      <c r="K150" s="136" t="e">
        <f t="shared" si="15"/>
        <v>#DIV/0!</v>
      </c>
      <c r="L150" s="47">
        <f t="shared" si="16"/>
        <v>0</v>
      </c>
      <c r="M150" s="136">
        <f t="shared" si="22"/>
        <v>0</v>
      </c>
      <c r="N150" s="136" t="e">
        <f t="shared" si="17"/>
        <v>#DIV/0!</v>
      </c>
      <c r="O150" s="47">
        <f t="shared" si="18"/>
        <v>0</v>
      </c>
      <c r="P150" s="137">
        <f t="shared" si="19"/>
        <v>0</v>
      </c>
      <c r="R150" s="138">
        <v>680092.4</v>
      </c>
      <c r="S150" s="139">
        <v>625407.2</v>
      </c>
      <c r="T150" s="139">
        <v>642540.6</v>
      </c>
    </row>
    <row r="151" spans="1:20" ht="89.25" customHeight="1">
      <c r="A151" s="135"/>
      <c r="B151" s="48" t="s">
        <v>268</v>
      </c>
      <c r="C151" s="47">
        <v>30</v>
      </c>
      <c r="D151" s="47">
        <v>15</v>
      </c>
      <c r="E151" s="47">
        <v>10</v>
      </c>
      <c r="F151" s="47">
        <v>10</v>
      </c>
      <c r="G151" s="136">
        <f t="shared" si="20"/>
        <v>2.205582653180656E-05</v>
      </c>
      <c r="H151" s="136">
        <f aca="true" t="shared" si="23" ref="H151:H172">D151/C151</f>
        <v>0.5</v>
      </c>
      <c r="I151" s="47">
        <f aca="true" t="shared" si="24" ref="I151:I172">D151-C151</f>
        <v>-15</v>
      </c>
      <c r="J151" s="136">
        <f t="shared" si="21"/>
        <v>1.598958246723095E-05</v>
      </c>
      <c r="K151" s="136">
        <f aca="true" t="shared" si="25" ref="K151:K172">E151/D151</f>
        <v>0.6666666666666666</v>
      </c>
      <c r="L151" s="47">
        <f aca="true" t="shared" si="26" ref="L151:L172">E151-D151</f>
        <v>-5</v>
      </c>
      <c r="M151" s="136">
        <f t="shared" si="22"/>
        <v>1.55632188845343E-05</v>
      </c>
      <c r="N151" s="136">
        <f aca="true" t="shared" si="27" ref="N151:N172">F151/E151</f>
        <v>1</v>
      </c>
      <c r="O151" s="47">
        <f aca="true" t="shared" si="28" ref="O151:O172">F151-E151</f>
        <v>0</v>
      </c>
      <c r="P151" s="137">
        <f t="shared" si="19"/>
        <v>0.0024384891121461143</v>
      </c>
      <c r="R151" s="138">
        <v>680092.4</v>
      </c>
      <c r="S151" s="139">
        <v>625407.2</v>
      </c>
      <c r="T151" s="139">
        <v>642540.6</v>
      </c>
    </row>
    <row r="152" spans="1:20" s="132" customFormat="1" ht="34.5" customHeight="1">
      <c r="A152" s="95" t="s">
        <v>156</v>
      </c>
      <c r="B152" s="9" t="s">
        <v>11</v>
      </c>
      <c r="C152" s="49">
        <f>3851.4+76</f>
        <v>3927.4</v>
      </c>
      <c r="D152" s="49">
        <f>6411.9+59.8</f>
        <v>6471.7</v>
      </c>
      <c r="E152" s="49">
        <f>5880.4+59.8</f>
        <v>5940.2</v>
      </c>
      <c r="F152" s="49">
        <f>5366.6+60.4</f>
        <v>5427</v>
      </c>
      <c r="G152" s="98">
        <f t="shared" si="20"/>
        <v>0.009515912837726168</v>
      </c>
      <c r="H152" s="98">
        <f t="shared" si="23"/>
        <v>1.6478331720731272</v>
      </c>
      <c r="I152" s="49">
        <f t="shared" si="24"/>
        <v>2544.2999999999997</v>
      </c>
      <c r="J152" s="98">
        <f t="shared" si="21"/>
        <v>0.009498131777184528</v>
      </c>
      <c r="K152" s="98">
        <f t="shared" si="25"/>
        <v>0.9178732017862385</v>
      </c>
      <c r="L152" s="49">
        <f t="shared" si="26"/>
        <v>-531.5</v>
      </c>
      <c r="M152" s="98">
        <f t="shared" si="22"/>
        <v>0.008446158888636765</v>
      </c>
      <c r="N152" s="98">
        <f t="shared" si="27"/>
        <v>0.9136056025049661</v>
      </c>
      <c r="O152" s="49">
        <f t="shared" si="28"/>
        <v>-513.1999999999998</v>
      </c>
      <c r="P152" s="131">
        <f t="shared" si="19"/>
        <v>1.0520779991384006</v>
      </c>
      <c r="R152" s="133">
        <v>680092.4</v>
      </c>
      <c r="S152" s="134">
        <v>625407.2</v>
      </c>
      <c r="T152" s="134">
        <v>642540.6</v>
      </c>
    </row>
    <row r="153" spans="1:20" s="159" customFormat="1" ht="30.75" customHeight="1">
      <c r="A153" s="50" t="s">
        <v>157</v>
      </c>
      <c r="B153" s="51" t="s">
        <v>158</v>
      </c>
      <c r="C153" s="46">
        <f>C154+C158</f>
        <v>696</v>
      </c>
      <c r="D153" s="46">
        <f>D154+D158</f>
        <v>750</v>
      </c>
      <c r="E153" s="46">
        <f>E154+E158</f>
        <v>716.5</v>
      </c>
      <c r="F153" s="46">
        <f>F154+F158</f>
        <v>701.5</v>
      </c>
      <c r="G153" s="125">
        <f t="shared" si="20"/>
        <v>0.001102791326590328</v>
      </c>
      <c r="H153" s="125">
        <f t="shared" si="23"/>
        <v>1.0775862068965518</v>
      </c>
      <c r="I153" s="46">
        <f t="shared" si="24"/>
        <v>54</v>
      </c>
      <c r="J153" s="125">
        <f t="shared" si="21"/>
        <v>0.0011456535837770976</v>
      </c>
      <c r="K153" s="125">
        <f t="shared" si="25"/>
        <v>0.9553333333333334</v>
      </c>
      <c r="L153" s="46">
        <f t="shared" si="26"/>
        <v>-33.5</v>
      </c>
      <c r="M153" s="125">
        <f t="shared" si="22"/>
        <v>0.0010917598047500811</v>
      </c>
      <c r="N153" s="125">
        <f t="shared" si="27"/>
        <v>0.9790648988136776</v>
      </c>
      <c r="O153" s="46">
        <f t="shared" si="28"/>
        <v>-15</v>
      </c>
      <c r="P153" s="126">
        <f aca="true" t="shared" si="29" ref="P153:P179">D153/615135*100</f>
        <v>0.12192445560730572</v>
      </c>
      <c r="Q153" s="126">
        <f>D153/C153*100</f>
        <v>107.75862068965519</v>
      </c>
      <c r="R153" s="127">
        <v>680092.4</v>
      </c>
      <c r="S153" s="128">
        <v>625407.2</v>
      </c>
      <c r="T153" s="128">
        <v>642540.6</v>
      </c>
    </row>
    <row r="154" spans="1:20" ht="40.5" customHeight="1" hidden="1">
      <c r="A154" s="6" t="s">
        <v>159</v>
      </c>
      <c r="B154" s="7" t="s">
        <v>160</v>
      </c>
      <c r="C154" s="10">
        <f>C155+C156+C157</f>
        <v>0</v>
      </c>
      <c r="D154" s="10">
        <f>D155+D156+D157</f>
        <v>0</v>
      </c>
      <c r="E154" s="10">
        <f>E155+E156+E157</f>
        <v>0</v>
      </c>
      <c r="F154" s="10">
        <f>F155+F156+F157</f>
        <v>0</v>
      </c>
      <c r="G154" s="141">
        <f t="shared" si="20"/>
        <v>0</v>
      </c>
      <c r="H154" s="141" t="e">
        <f t="shared" si="23"/>
        <v>#DIV/0!</v>
      </c>
      <c r="I154" s="10">
        <f t="shared" si="24"/>
        <v>0</v>
      </c>
      <c r="J154" s="141">
        <f t="shared" si="21"/>
        <v>0</v>
      </c>
      <c r="K154" s="141" t="e">
        <f t="shared" si="25"/>
        <v>#DIV/0!</v>
      </c>
      <c r="L154" s="10">
        <f t="shared" si="26"/>
        <v>0</v>
      </c>
      <c r="M154" s="141">
        <f t="shared" si="22"/>
        <v>0</v>
      </c>
      <c r="N154" s="141" t="e">
        <f t="shared" si="27"/>
        <v>#DIV/0!</v>
      </c>
      <c r="O154" s="10">
        <f t="shared" si="28"/>
        <v>0</v>
      </c>
      <c r="P154" s="142">
        <f t="shared" si="29"/>
        <v>0</v>
      </c>
      <c r="R154" s="138">
        <v>680092.4</v>
      </c>
      <c r="S154" s="139">
        <v>625407.2</v>
      </c>
      <c r="T154" s="139">
        <v>642540.6</v>
      </c>
    </row>
    <row r="155" spans="1:20" ht="18.75" hidden="1">
      <c r="A155" s="6"/>
      <c r="B155" s="7" t="s">
        <v>161</v>
      </c>
      <c r="C155" s="10"/>
      <c r="D155" s="10"/>
      <c r="E155" s="10"/>
      <c r="F155" s="10"/>
      <c r="G155" s="141">
        <f t="shared" si="20"/>
        <v>0</v>
      </c>
      <c r="H155" s="141" t="e">
        <f t="shared" si="23"/>
        <v>#DIV/0!</v>
      </c>
      <c r="I155" s="10">
        <f t="shared" si="24"/>
        <v>0</v>
      </c>
      <c r="J155" s="141">
        <f t="shared" si="21"/>
        <v>0</v>
      </c>
      <c r="K155" s="141" t="e">
        <f t="shared" si="25"/>
        <v>#DIV/0!</v>
      </c>
      <c r="L155" s="10">
        <f t="shared" si="26"/>
        <v>0</v>
      </c>
      <c r="M155" s="141">
        <f t="shared" si="22"/>
        <v>0</v>
      </c>
      <c r="N155" s="141" t="e">
        <f t="shared" si="27"/>
        <v>#DIV/0!</v>
      </c>
      <c r="O155" s="10">
        <f t="shared" si="28"/>
        <v>0</v>
      </c>
      <c r="P155" s="142">
        <f t="shared" si="29"/>
        <v>0</v>
      </c>
      <c r="R155" s="138">
        <v>680092.4</v>
      </c>
      <c r="S155" s="139">
        <v>625407.2</v>
      </c>
      <c r="T155" s="139">
        <v>642540.6</v>
      </c>
    </row>
    <row r="156" spans="1:20" s="60" customFormat="1" ht="18.75" hidden="1">
      <c r="A156" s="6"/>
      <c r="B156" s="7"/>
      <c r="C156" s="10"/>
      <c r="D156" s="10"/>
      <c r="E156" s="10"/>
      <c r="F156" s="10"/>
      <c r="G156" s="141">
        <f t="shared" si="20"/>
        <v>0</v>
      </c>
      <c r="H156" s="141" t="e">
        <f t="shared" si="23"/>
        <v>#DIV/0!</v>
      </c>
      <c r="I156" s="10">
        <f t="shared" si="24"/>
        <v>0</v>
      </c>
      <c r="J156" s="141">
        <f t="shared" si="21"/>
        <v>0</v>
      </c>
      <c r="K156" s="141" t="e">
        <f t="shared" si="25"/>
        <v>#DIV/0!</v>
      </c>
      <c r="L156" s="10">
        <f t="shared" si="26"/>
        <v>0</v>
      </c>
      <c r="M156" s="141">
        <f t="shared" si="22"/>
        <v>0</v>
      </c>
      <c r="N156" s="141" t="e">
        <f t="shared" si="27"/>
        <v>#DIV/0!</v>
      </c>
      <c r="O156" s="10">
        <f t="shared" si="28"/>
        <v>0</v>
      </c>
      <c r="P156" s="142">
        <f t="shared" si="29"/>
        <v>0</v>
      </c>
      <c r="R156" s="138">
        <v>680092.4</v>
      </c>
      <c r="S156" s="139">
        <v>625407.2</v>
      </c>
      <c r="T156" s="139">
        <v>642540.6</v>
      </c>
    </row>
    <row r="157" spans="1:20" ht="40.5" customHeight="1" hidden="1">
      <c r="A157" s="6"/>
      <c r="B157" s="7" t="s">
        <v>162</v>
      </c>
      <c r="C157" s="10">
        <v>0</v>
      </c>
      <c r="D157" s="10">
        <v>0</v>
      </c>
      <c r="E157" s="10">
        <v>0</v>
      </c>
      <c r="F157" s="10">
        <v>0</v>
      </c>
      <c r="G157" s="141">
        <f t="shared" si="20"/>
        <v>0</v>
      </c>
      <c r="H157" s="141" t="e">
        <f t="shared" si="23"/>
        <v>#DIV/0!</v>
      </c>
      <c r="I157" s="10">
        <f t="shared" si="24"/>
        <v>0</v>
      </c>
      <c r="J157" s="141">
        <f t="shared" si="21"/>
        <v>0</v>
      </c>
      <c r="K157" s="141" t="e">
        <f t="shared" si="25"/>
        <v>#DIV/0!</v>
      </c>
      <c r="L157" s="10">
        <f t="shared" si="26"/>
        <v>0</v>
      </c>
      <c r="M157" s="141">
        <f t="shared" si="22"/>
        <v>0</v>
      </c>
      <c r="N157" s="141" t="e">
        <f t="shared" si="27"/>
        <v>#DIV/0!</v>
      </c>
      <c r="O157" s="10">
        <f t="shared" si="28"/>
        <v>0</v>
      </c>
      <c r="P157" s="142">
        <f t="shared" si="29"/>
        <v>0</v>
      </c>
      <c r="R157" s="138">
        <v>680092.4</v>
      </c>
      <c r="S157" s="139">
        <v>625407.2</v>
      </c>
      <c r="T157" s="139">
        <v>642540.6</v>
      </c>
    </row>
    <row r="158" spans="1:20" s="132" customFormat="1" ht="48" customHeight="1">
      <c r="A158" s="95" t="s">
        <v>163</v>
      </c>
      <c r="B158" s="9" t="s">
        <v>164</v>
      </c>
      <c r="C158" s="49">
        <f>C159+C160</f>
        <v>696</v>
      </c>
      <c r="D158" s="49">
        <f>D159+D160</f>
        <v>750</v>
      </c>
      <c r="E158" s="49">
        <f>E159+E160</f>
        <v>716.5</v>
      </c>
      <c r="F158" s="49">
        <f>F159+F160</f>
        <v>701.5</v>
      </c>
      <c r="G158" s="98">
        <f t="shared" si="20"/>
        <v>0.001102791326590328</v>
      </c>
      <c r="H158" s="98">
        <f t="shared" si="23"/>
        <v>1.0775862068965518</v>
      </c>
      <c r="I158" s="49">
        <f t="shared" si="24"/>
        <v>54</v>
      </c>
      <c r="J158" s="98">
        <f t="shared" si="21"/>
        <v>0.0011456535837770976</v>
      </c>
      <c r="K158" s="98">
        <f t="shared" si="25"/>
        <v>0.9553333333333334</v>
      </c>
      <c r="L158" s="49">
        <f t="shared" si="26"/>
        <v>-33.5</v>
      </c>
      <c r="M158" s="98">
        <f t="shared" si="22"/>
        <v>0.0010917598047500811</v>
      </c>
      <c r="N158" s="98">
        <f t="shared" si="27"/>
        <v>0.9790648988136776</v>
      </c>
      <c r="O158" s="49">
        <f t="shared" si="28"/>
        <v>-15</v>
      </c>
      <c r="P158" s="131">
        <f t="shared" si="29"/>
        <v>0.12192445560730572</v>
      </c>
      <c r="R158" s="133">
        <v>680092.4</v>
      </c>
      <c r="S158" s="134">
        <v>625407.2</v>
      </c>
      <c r="T158" s="134">
        <v>642540.6</v>
      </c>
    </row>
    <row r="159" spans="1:20" ht="27.75" customHeight="1">
      <c r="A159" s="135"/>
      <c r="B159" s="48" t="s">
        <v>132</v>
      </c>
      <c r="C159" s="47">
        <v>696</v>
      </c>
      <c r="D159" s="47">
        <v>750</v>
      </c>
      <c r="E159" s="47">
        <v>716.5</v>
      </c>
      <c r="F159" s="47">
        <v>701.5</v>
      </c>
      <c r="G159" s="136">
        <f t="shared" si="20"/>
        <v>0.001102791326590328</v>
      </c>
      <c r="H159" s="136">
        <f t="shared" si="23"/>
        <v>1.0775862068965518</v>
      </c>
      <c r="I159" s="47">
        <f t="shared" si="24"/>
        <v>54</v>
      </c>
      <c r="J159" s="136">
        <f t="shared" si="21"/>
        <v>0.0011456535837770976</v>
      </c>
      <c r="K159" s="136">
        <f t="shared" si="25"/>
        <v>0.9553333333333334</v>
      </c>
      <c r="L159" s="47">
        <f t="shared" si="26"/>
        <v>-33.5</v>
      </c>
      <c r="M159" s="136">
        <f t="shared" si="22"/>
        <v>0.0010917598047500811</v>
      </c>
      <c r="N159" s="136">
        <f t="shared" si="27"/>
        <v>0.9790648988136776</v>
      </c>
      <c r="O159" s="47">
        <f t="shared" si="28"/>
        <v>-15</v>
      </c>
      <c r="P159" s="137">
        <f t="shared" si="29"/>
        <v>0.12192445560730572</v>
      </c>
      <c r="R159" s="138">
        <v>680092.4</v>
      </c>
      <c r="S159" s="139">
        <v>625407.2</v>
      </c>
      <c r="T159" s="139">
        <v>642540.6</v>
      </c>
    </row>
    <row r="160" spans="1:20" ht="40.5" customHeight="1" hidden="1">
      <c r="A160" s="6"/>
      <c r="B160" s="7" t="s">
        <v>91</v>
      </c>
      <c r="C160" s="10">
        <v>0</v>
      </c>
      <c r="D160" s="10">
        <v>0</v>
      </c>
      <c r="E160" s="10">
        <v>0</v>
      </c>
      <c r="F160" s="10">
        <v>0</v>
      </c>
      <c r="G160" s="141">
        <f t="shared" si="20"/>
        <v>0</v>
      </c>
      <c r="H160" s="141" t="e">
        <f t="shared" si="23"/>
        <v>#DIV/0!</v>
      </c>
      <c r="I160" s="10">
        <f t="shared" si="24"/>
        <v>0</v>
      </c>
      <c r="J160" s="141">
        <f t="shared" si="21"/>
        <v>0</v>
      </c>
      <c r="K160" s="141" t="e">
        <f t="shared" si="25"/>
        <v>#DIV/0!</v>
      </c>
      <c r="L160" s="10">
        <f t="shared" si="26"/>
        <v>0</v>
      </c>
      <c r="M160" s="141">
        <f t="shared" si="22"/>
        <v>0</v>
      </c>
      <c r="N160" s="141" t="e">
        <f t="shared" si="27"/>
        <v>#DIV/0!</v>
      </c>
      <c r="O160" s="10">
        <f t="shared" si="28"/>
        <v>0</v>
      </c>
      <c r="P160" s="142">
        <f t="shared" si="29"/>
        <v>0</v>
      </c>
      <c r="R160" s="138">
        <v>680092.4</v>
      </c>
      <c r="S160" s="139">
        <v>625407.2</v>
      </c>
      <c r="T160" s="139">
        <v>642540.6</v>
      </c>
    </row>
    <row r="161" spans="1:20" s="159" customFormat="1" ht="33" customHeight="1">
      <c r="A161" s="50" t="s">
        <v>165</v>
      </c>
      <c r="B161" s="51" t="s">
        <v>166</v>
      </c>
      <c r="C161" s="46">
        <f>C162</f>
        <v>370</v>
      </c>
      <c r="D161" s="46">
        <f>D162</f>
        <v>670</v>
      </c>
      <c r="E161" s="46">
        <f>E162</f>
        <v>370</v>
      </c>
      <c r="F161" s="46">
        <f>F162</f>
        <v>200</v>
      </c>
      <c r="G161" s="125">
        <f t="shared" si="20"/>
        <v>0.0009851602517540264</v>
      </c>
      <c r="H161" s="125">
        <f t="shared" si="23"/>
        <v>1.8108108108108107</v>
      </c>
      <c r="I161" s="46">
        <f t="shared" si="24"/>
        <v>300</v>
      </c>
      <c r="J161" s="125">
        <f t="shared" si="21"/>
        <v>0.0005916145512875452</v>
      </c>
      <c r="K161" s="125">
        <f t="shared" si="25"/>
        <v>0.5522388059701493</v>
      </c>
      <c r="L161" s="46">
        <f t="shared" si="26"/>
        <v>-300</v>
      </c>
      <c r="M161" s="125">
        <f t="shared" si="22"/>
        <v>0.000311264377690686</v>
      </c>
      <c r="N161" s="125">
        <f t="shared" si="27"/>
        <v>0.5405405405405406</v>
      </c>
      <c r="O161" s="46">
        <f t="shared" si="28"/>
        <v>-170</v>
      </c>
      <c r="P161" s="126">
        <f t="shared" si="29"/>
        <v>0.10891918034252644</v>
      </c>
      <c r="Q161" s="126">
        <f>D161/C161*100</f>
        <v>181.08108108108107</v>
      </c>
      <c r="R161" s="127">
        <v>680092.4</v>
      </c>
      <c r="S161" s="128">
        <v>625407.2</v>
      </c>
      <c r="T161" s="128">
        <v>642540.6</v>
      </c>
    </row>
    <row r="162" spans="1:20" s="132" customFormat="1" ht="33.75" customHeight="1">
      <c r="A162" s="95" t="s">
        <v>167</v>
      </c>
      <c r="B162" s="9" t="s">
        <v>8</v>
      </c>
      <c r="C162" s="49">
        <v>370</v>
      </c>
      <c r="D162" s="49">
        <v>670</v>
      </c>
      <c r="E162" s="49">
        <v>370</v>
      </c>
      <c r="F162" s="49">
        <v>200</v>
      </c>
      <c r="G162" s="98">
        <f t="shared" si="20"/>
        <v>0.0009851602517540264</v>
      </c>
      <c r="H162" s="98">
        <f t="shared" si="23"/>
        <v>1.8108108108108107</v>
      </c>
      <c r="I162" s="49">
        <f t="shared" si="24"/>
        <v>300</v>
      </c>
      <c r="J162" s="98">
        <f t="shared" si="21"/>
        <v>0.0005916145512875452</v>
      </c>
      <c r="K162" s="98">
        <f t="shared" si="25"/>
        <v>0.5522388059701493</v>
      </c>
      <c r="L162" s="49">
        <f t="shared" si="26"/>
        <v>-300</v>
      </c>
      <c r="M162" s="98">
        <f t="shared" si="22"/>
        <v>0.000311264377690686</v>
      </c>
      <c r="N162" s="98">
        <f t="shared" si="27"/>
        <v>0.5405405405405406</v>
      </c>
      <c r="O162" s="49">
        <f t="shared" si="28"/>
        <v>-170</v>
      </c>
      <c r="P162" s="131">
        <f t="shared" si="29"/>
        <v>0.10891918034252644</v>
      </c>
      <c r="R162" s="133">
        <v>680092.4</v>
      </c>
      <c r="S162" s="134">
        <v>625407.2</v>
      </c>
      <c r="T162" s="134">
        <v>642540.6</v>
      </c>
    </row>
    <row r="163" spans="1:20" s="129" customFormat="1" ht="41.25" customHeight="1">
      <c r="A163" s="50" t="s">
        <v>168</v>
      </c>
      <c r="B163" s="51" t="s">
        <v>169</v>
      </c>
      <c r="C163" s="46">
        <f>C164</f>
        <v>600</v>
      </c>
      <c r="D163" s="46">
        <f>D164</f>
        <v>5</v>
      </c>
      <c r="E163" s="46">
        <f>E164</f>
        <v>0</v>
      </c>
      <c r="F163" s="46">
        <f>F164</f>
        <v>0</v>
      </c>
      <c r="G163" s="125">
        <f t="shared" si="20"/>
        <v>7.351942177268853E-06</v>
      </c>
      <c r="H163" s="125">
        <f t="shared" si="23"/>
        <v>0.008333333333333333</v>
      </c>
      <c r="I163" s="46">
        <f t="shared" si="24"/>
        <v>-595</v>
      </c>
      <c r="J163" s="125">
        <f t="shared" si="21"/>
        <v>0</v>
      </c>
      <c r="K163" s="125">
        <f t="shared" si="25"/>
        <v>0</v>
      </c>
      <c r="L163" s="46">
        <f t="shared" si="26"/>
        <v>-5</v>
      </c>
      <c r="M163" s="125">
        <f t="shared" si="22"/>
        <v>0</v>
      </c>
      <c r="N163" s="125" t="e">
        <f t="shared" si="27"/>
        <v>#DIV/0!</v>
      </c>
      <c r="O163" s="46">
        <f t="shared" si="28"/>
        <v>0</v>
      </c>
      <c r="P163" s="126">
        <f t="shared" si="29"/>
        <v>0.0008128297040487048</v>
      </c>
      <c r="Q163" s="126">
        <f>D163/C163*100</f>
        <v>0.8333333333333334</v>
      </c>
      <c r="R163" s="127">
        <v>680092.4</v>
      </c>
      <c r="S163" s="128">
        <v>625407.2</v>
      </c>
      <c r="T163" s="128">
        <v>642540.6</v>
      </c>
    </row>
    <row r="164" spans="1:20" s="132" customFormat="1" ht="45" customHeight="1">
      <c r="A164" s="95" t="s">
        <v>170</v>
      </c>
      <c r="B164" s="9" t="s">
        <v>7</v>
      </c>
      <c r="C164" s="49">
        <v>600</v>
      </c>
      <c r="D164" s="49">
        <v>5</v>
      </c>
      <c r="E164" s="49">
        <v>0</v>
      </c>
      <c r="F164" s="49">
        <v>0</v>
      </c>
      <c r="G164" s="98">
        <f t="shared" si="20"/>
        <v>7.351942177268853E-06</v>
      </c>
      <c r="H164" s="98">
        <f t="shared" si="23"/>
        <v>0.008333333333333333</v>
      </c>
      <c r="I164" s="49">
        <f t="shared" si="24"/>
        <v>-595</v>
      </c>
      <c r="J164" s="98">
        <f t="shared" si="21"/>
        <v>0</v>
      </c>
      <c r="K164" s="98">
        <f t="shared" si="25"/>
        <v>0</v>
      </c>
      <c r="L164" s="49">
        <f t="shared" si="26"/>
        <v>-5</v>
      </c>
      <c r="M164" s="98">
        <f t="shared" si="22"/>
        <v>0</v>
      </c>
      <c r="N164" s="98" t="e">
        <f t="shared" si="27"/>
        <v>#DIV/0!</v>
      </c>
      <c r="O164" s="49">
        <f t="shared" si="28"/>
        <v>0</v>
      </c>
      <c r="P164" s="131">
        <f t="shared" si="29"/>
        <v>0.0008128297040487048</v>
      </c>
      <c r="R164" s="133">
        <v>680092.4</v>
      </c>
      <c r="S164" s="134">
        <v>625407.2</v>
      </c>
      <c r="T164" s="134">
        <v>642540.6</v>
      </c>
    </row>
    <row r="165" spans="1:20" s="129" customFormat="1" ht="67.5" customHeight="1">
      <c r="A165" s="50" t="s">
        <v>171</v>
      </c>
      <c r="B165" s="51" t="s">
        <v>269</v>
      </c>
      <c r="C165" s="46">
        <f>C167+C168+C169</f>
        <v>2575.5</v>
      </c>
      <c r="D165" s="46">
        <f>D167+D168+D169</f>
        <v>2575.5</v>
      </c>
      <c r="E165" s="46">
        <f>E167+E168+E169</f>
        <v>2669.9</v>
      </c>
      <c r="F165" s="46">
        <f>F167+F168+F169</f>
        <v>2754.1</v>
      </c>
      <c r="G165" s="125">
        <f t="shared" si="20"/>
        <v>0.0037869854155111863</v>
      </c>
      <c r="H165" s="125">
        <f t="shared" si="23"/>
        <v>1.0889602976618324</v>
      </c>
      <c r="I165" s="46">
        <f t="shared" si="24"/>
        <v>210.4000000000001</v>
      </c>
      <c r="J165" s="125">
        <f t="shared" si="21"/>
        <v>0.004269058622925992</v>
      </c>
      <c r="K165" s="125">
        <f t="shared" si="25"/>
        <v>1.0366530770724132</v>
      </c>
      <c r="L165" s="46">
        <f t="shared" si="26"/>
        <v>94.40000000000009</v>
      </c>
      <c r="M165" s="125">
        <f t="shared" si="22"/>
        <v>0.004286266112989592</v>
      </c>
      <c r="N165" s="125">
        <f t="shared" si="27"/>
        <v>1.0315367616764672</v>
      </c>
      <c r="O165" s="46">
        <f t="shared" si="28"/>
        <v>84.19999999999982</v>
      </c>
      <c r="P165" s="126">
        <f t="shared" si="29"/>
        <v>0.41868858055548785</v>
      </c>
      <c r="Q165" s="126">
        <f>D165/C165*100</f>
        <v>108.89602976618325</v>
      </c>
      <c r="R165" s="127">
        <v>680092.4</v>
      </c>
      <c r="S165" s="128">
        <v>625407.2</v>
      </c>
      <c r="T165" s="128">
        <v>642540.6</v>
      </c>
    </row>
    <row r="166" spans="1:20" s="132" customFormat="1" ht="54.75" customHeight="1">
      <c r="A166" s="95" t="s">
        <v>172</v>
      </c>
      <c r="B166" s="9" t="s">
        <v>173</v>
      </c>
      <c r="C166" s="49">
        <f>C167+C168</f>
        <v>2575.5</v>
      </c>
      <c r="D166" s="49">
        <f>D167+D168</f>
        <v>2575.5</v>
      </c>
      <c r="E166" s="49">
        <f>E167+E168</f>
        <v>2669.9</v>
      </c>
      <c r="F166" s="49">
        <f>F167+F168</f>
        <v>2754.1</v>
      </c>
      <c r="G166" s="98">
        <f t="shared" si="20"/>
        <v>0.0037869854155111863</v>
      </c>
      <c r="H166" s="98" t="e">
        <f t="shared" si="23"/>
        <v>#DIV/0!</v>
      </c>
      <c r="I166" s="49">
        <f t="shared" si="24"/>
        <v>2575.5</v>
      </c>
      <c r="J166" s="98">
        <f t="shared" si="21"/>
        <v>0.004269058622925992</v>
      </c>
      <c r="K166" s="98">
        <f t="shared" si="25"/>
        <v>1.0366530770724132</v>
      </c>
      <c r="L166" s="49">
        <f t="shared" si="26"/>
        <v>94.40000000000009</v>
      </c>
      <c r="M166" s="98">
        <f t="shared" si="22"/>
        <v>0.004286266112989592</v>
      </c>
      <c r="N166" s="98">
        <f t="shared" si="27"/>
        <v>1.0315367616764672</v>
      </c>
      <c r="O166" s="49">
        <f t="shared" si="28"/>
        <v>84.19999999999982</v>
      </c>
      <c r="P166" s="131">
        <f t="shared" si="29"/>
        <v>0.41868858055548785</v>
      </c>
      <c r="R166" s="133">
        <v>680092.4</v>
      </c>
      <c r="S166" s="134">
        <v>625407.2</v>
      </c>
      <c r="T166" s="134">
        <v>642540.6</v>
      </c>
    </row>
    <row r="167" spans="1:20" ht="40.5" customHeight="1" hidden="1">
      <c r="A167" s="6"/>
      <c r="B167" s="7" t="s">
        <v>174</v>
      </c>
      <c r="C167" s="10">
        <f>0</f>
        <v>0</v>
      </c>
      <c r="D167" s="10">
        <f>0</f>
        <v>0</v>
      </c>
      <c r="E167" s="10">
        <f>0</f>
        <v>0</v>
      </c>
      <c r="F167" s="10">
        <f>0</f>
        <v>0</v>
      </c>
      <c r="G167" s="141">
        <f t="shared" si="20"/>
        <v>0</v>
      </c>
      <c r="H167" s="141" t="e">
        <f t="shared" si="23"/>
        <v>#DIV/0!</v>
      </c>
      <c r="I167" s="10">
        <f t="shared" si="24"/>
        <v>0</v>
      </c>
      <c r="J167" s="141">
        <f t="shared" si="21"/>
        <v>0</v>
      </c>
      <c r="K167" s="141" t="e">
        <f t="shared" si="25"/>
        <v>#DIV/0!</v>
      </c>
      <c r="L167" s="10">
        <f t="shared" si="26"/>
        <v>0</v>
      </c>
      <c r="M167" s="141">
        <f t="shared" si="22"/>
        <v>0</v>
      </c>
      <c r="N167" s="141" t="e">
        <f t="shared" si="27"/>
        <v>#DIV/0!</v>
      </c>
      <c r="O167" s="10">
        <f t="shared" si="28"/>
        <v>0</v>
      </c>
      <c r="P167" s="142">
        <f t="shared" si="29"/>
        <v>0</v>
      </c>
      <c r="R167" s="138">
        <v>680092.4</v>
      </c>
      <c r="S167" s="139">
        <v>625407.2</v>
      </c>
      <c r="T167" s="139">
        <v>642540.6</v>
      </c>
    </row>
    <row r="168" spans="1:20" ht="60" customHeight="1">
      <c r="A168" s="135"/>
      <c r="B168" s="48" t="s">
        <v>175</v>
      </c>
      <c r="C168" s="49">
        <f>C169+C170</f>
        <v>2475.8</v>
      </c>
      <c r="D168" s="130">
        <f>2575.5</f>
        <v>2575.5</v>
      </c>
      <c r="E168" s="130">
        <f>2669.9</f>
        <v>2669.9</v>
      </c>
      <c r="F168" s="130">
        <f>2754.1</f>
        <v>2754.1</v>
      </c>
      <c r="G168" s="136">
        <f t="shared" si="20"/>
        <v>0.0037869854155111863</v>
      </c>
      <c r="H168" s="136">
        <f t="shared" si="23"/>
        <v>1.0889602976618324</v>
      </c>
      <c r="I168" s="47">
        <f t="shared" si="24"/>
        <v>210.4000000000001</v>
      </c>
      <c r="J168" s="136">
        <f t="shared" si="21"/>
        <v>0.004269058622925992</v>
      </c>
      <c r="K168" s="136">
        <f t="shared" si="25"/>
        <v>1.0366530770724132</v>
      </c>
      <c r="L168" s="47">
        <f t="shared" si="26"/>
        <v>94.40000000000009</v>
      </c>
      <c r="M168" s="136">
        <f t="shared" si="22"/>
        <v>0.004286266112989592</v>
      </c>
      <c r="N168" s="136">
        <f t="shared" si="27"/>
        <v>1.0315367616764672</v>
      </c>
      <c r="O168" s="47">
        <f t="shared" si="28"/>
        <v>84.19999999999982</v>
      </c>
      <c r="P168" s="137">
        <f t="shared" si="29"/>
        <v>0.41868858055548785</v>
      </c>
      <c r="R168" s="138">
        <v>680092.4</v>
      </c>
      <c r="S168" s="139">
        <v>625407.2</v>
      </c>
      <c r="T168" s="139">
        <v>642540.6</v>
      </c>
    </row>
    <row r="169" spans="1:20" ht="40.5" customHeight="1" hidden="1">
      <c r="A169" s="6" t="s">
        <v>176</v>
      </c>
      <c r="B169" s="7" t="s">
        <v>6</v>
      </c>
      <c r="C169" s="10">
        <f>0</f>
        <v>0</v>
      </c>
      <c r="D169" s="10">
        <f>0</f>
        <v>0</v>
      </c>
      <c r="E169" s="10">
        <f>0</f>
        <v>0</v>
      </c>
      <c r="F169" s="10">
        <f>0</f>
        <v>0</v>
      </c>
      <c r="G169" s="141">
        <f t="shared" si="20"/>
        <v>0</v>
      </c>
      <c r="H169" s="141" t="e">
        <f t="shared" si="23"/>
        <v>#DIV/0!</v>
      </c>
      <c r="I169" s="10">
        <f t="shared" si="24"/>
        <v>0</v>
      </c>
      <c r="J169" s="141">
        <f t="shared" si="21"/>
        <v>0</v>
      </c>
      <c r="K169" s="141" t="e">
        <f t="shared" si="25"/>
        <v>#DIV/0!</v>
      </c>
      <c r="L169" s="10">
        <f t="shared" si="26"/>
        <v>0</v>
      </c>
      <c r="M169" s="141">
        <f t="shared" si="22"/>
        <v>0</v>
      </c>
      <c r="N169" s="141" t="e">
        <f t="shared" si="27"/>
        <v>#DIV/0!</v>
      </c>
      <c r="O169" s="10">
        <f t="shared" si="28"/>
        <v>0</v>
      </c>
      <c r="P169" s="142">
        <f t="shared" si="29"/>
        <v>0</v>
      </c>
      <c r="R169" s="138">
        <v>680092.4</v>
      </c>
      <c r="S169" s="139">
        <v>625407.2</v>
      </c>
      <c r="T169" s="139">
        <v>642540.6</v>
      </c>
    </row>
    <row r="170" spans="1:20" s="129" customFormat="1" ht="37.5" customHeight="1">
      <c r="A170" s="50"/>
      <c r="B170" s="51" t="s">
        <v>323</v>
      </c>
      <c r="C170" s="46">
        <f>C7+C35+C37+C47+C69+C85+C87+C124+C136+C144+C153+C161+C163+C165</f>
        <v>714199.3999999999</v>
      </c>
      <c r="D170" s="46">
        <f>D7+D35+D37+D47+D69+D85+D87+D124+D136+D144+D153+D161+D163+D165</f>
        <v>714199.3999999999</v>
      </c>
      <c r="E170" s="46">
        <f>E7+E35+E37+E47+E69+E85+E87+E124+E136+E144+E153+E161+E163+E165</f>
        <v>671807.0449999999</v>
      </c>
      <c r="F170" s="46">
        <f>F7+F35+F37+F47+F69+F85+F87+F124+F136+F144+F153+F161+F163+F165+0.1</f>
        <v>685760.9323250001</v>
      </c>
      <c r="G170" s="125">
        <f t="shared" si="20"/>
        <v>1.0501505383680216</v>
      </c>
      <c r="H170" s="125">
        <f t="shared" si="23"/>
        <v>1.0578619262405076</v>
      </c>
      <c r="I170" s="46">
        <f t="shared" si="24"/>
        <v>39064.59999999986</v>
      </c>
      <c r="J170" s="125">
        <f t="shared" si="21"/>
        <v>1.0741914148094234</v>
      </c>
      <c r="K170" s="125">
        <f t="shared" si="25"/>
        <v>0.9406435303642092</v>
      </c>
      <c r="L170" s="46">
        <f t="shared" si="26"/>
        <v>-42392.35499999998</v>
      </c>
      <c r="M170" s="125">
        <f t="shared" si="22"/>
        <v>1.067264749223629</v>
      </c>
      <c r="N170" s="125">
        <f t="shared" si="27"/>
        <v>1.020770677278325</v>
      </c>
      <c r="O170" s="46">
        <f t="shared" si="28"/>
        <v>13953.887325000134</v>
      </c>
      <c r="P170" s="126">
        <f t="shared" si="29"/>
        <v>116.10449738675248</v>
      </c>
      <c r="Q170" s="126">
        <f>D170/C170*100</f>
        <v>105.78619262405076</v>
      </c>
      <c r="R170" s="127">
        <v>680092.4</v>
      </c>
      <c r="S170" s="128">
        <v>625407.2</v>
      </c>
      <c r="T170" s="128">
        <v>642540.6</v>
      </c>
    </row>
    <row r="171" spans="1:20" ht="30.75" customHeight="1">
      <c r="A171" s="135"/>
      <c r="B171" s="48" t="s">
        <v>177</v>
      </c>
      <c r="C171" s="49">
        <f>C172+C173</f>
        <v>2475.8</v>
      </c>
      <c r="D171" s="130">
        <f>2575.5</f>
        <v>2575.5</v>
      </c>
      <c r="E171" s="130">
        <f>2669.9</f>
        <v>2669.9</v>
      </c>
      <c r="F171" s="130">
        <f>2754.1</f>
        <v>2754.1</v>
      </c>
      <c r="G171" s="136">
        <f t="shared" si="20"/>
        <v>0.0037869854155111863</v>
      </c>
      <c r="H171" s="136">
        <f t="shared" si="23"/>
        <v>1.0889602976618324</v>
      </c>
      <c r="I171" s="47">
        <f t="shared" si="24"/>
        <v>210.4000000000001</v>
      </c>
      <c r="J171" s="136">
        <f t="shared" si="21"/>
        <v>0.004269058622925992</v>
      </c>
      <c r="K171" s="136">
        <f t="shared" si="25"/>
        <v>1.0366530770724132</v>
      </c>
      <c r="L171" s="47">
        <f t="shared" si="26"/>
        <v>94.40000000000009</v>
      </c>
      <c r="M171" s="136">
        <f t="shared" si="22"/>
        <v>0.004286266112989592</v>
      </c>
      <c r="N171" s="136">
        <f t="shared" si="27"/>
        <v>1.0315367616764672</v>
      </c>
      <c r="O171" s="47">
        <f t="shared" si="28"/>
        <v>84.19999999999982</v>
      </c>
      <c r="P171" s="137">
        <f t="shared" si="29"/>
        <v>0.41868858055548785</v>
      </c>
      <c r="R171" s="138">
        <v>680092.4</v>
      </c>
      <c r="S171" s="139">
        <v>625407.2</v>
      </c>
      <c r="T171" s="139">
        <v>642540.6</v>
      </c>
    </row>
    <row r="172" spans="1:20" ht="39" customHeight="1">
      <c r="A172" s="135"/>
      <c r="B172" s="48" t="s">
        <v>178</v>
      </c>
      <c r="C172" s="47">
        <f>C170-C171</f>
        <v>672769.7000000001</v>
      </c>
      <c r="D172" s="47">
        <f>D170-D171</f>
        <v>711623.8999999999</v>
      </c>
      <c r="E172" s="47">
        <f>E170-E171</f>
        <v>669137.1449999999</v>
      </c>
      <c r="F172" s="47">
        <f>F170-F171</f>
        <v>683006.8323250001</v>
      </c>
      <c r="G172" s="136">
        <f t="shared" si="20"/>
        <v>1.0463635529525104</v>
      </c>
      <c r="H172" s="136">
        <f t="shared" si="23"/>
        <v>1.0577526009271818</v>
      </c>
      <c r="I172" s="47">
        <f t="shared" si="24"/>
        <v>38854.19999999984</v>
      </c>
      <c r="J172" s="136">
        <f t="shared" si="21"/>
        <v>1.0699223561864972</v>
      </c>
      <c r="K172" s="136">
        <f t="shared" si="25"/>
        <v>0.9402960538565386</v>
      </c>
      <c r="L172" s="47">
        <f t="shared" si="26"/>
        <v>-42486.755000000005</v>
      </c>
      <c r="M172" s="136">
        <f t="shared" si="22"/>
        <v>1.0629784831106395</v>
      </c>
      <c r="N172" s="136">
        <f t="shared" si="27"/>
        <v>1.0207277199130833</v>
      </c>
      <c r="O172" s="47">
        <f t="shared" si="28"/>
        <v>13869.68732500018</v>
      </c>
      <c r="P172" s="137">
        <f t="shared" si="29"/>
        <v>115.68580880619699</v>
      </c>
      <c r="R172" s="138">
        <v>680092.4</v>
      </c>
      <c r="S172" s="139">
        <v>625407.2</v>
      </c>
      <c r="T172" s="139">
        <v>642540.6</v>
      </c>
    </row>
    <row r="173" spans="1:20" s="129" customFormat="1" ht="39" customHeight="1">
      <c r="A173" s="50"/>
      <c r="B173" s="51" t="s">
        <v>179</v>
      </c>
      <c r="C173" s="46">
        <v>4500</v>
      </c>
      <c r="D173" s="46">
        <v>9600</v>
      </c>
      <c r="E173" s="46">
        <v>-17800</v>
      </c>
      <c r="F173" s="46">
        <v>-18500</v>
      </c>
      <c r="G173" s="46" t="s">
        <v>50</v>
      </c>
      <c r="H173" s="46" t="s">
        <v>50</v>
      </c>
      <c r="I173" s="46" t="s">
        <v>50</v>
      </c>
      <c r="J173" s="46" t="s">
        <v>50</v>
      </c>
      <c r="K173" s="46" t="s">
        <v>50</v>
      </c>
      <c r="L173" s="46" t="s">
        <v>50</v>
      </c>
      <c r="M173" s="46" t="s">
        <v>50</v>
      </c>
      <c r="N173" s="46" t="s">
        <v>50</v>
      </c>
      <c r="O173" s="46" t="s">
        <v>50</v>
      </c>
      <c r="P173" s="126">
        <f t="shared" si="29"/>
        <v>1.560633031773513</v>
      </c>
      <c r="R173" s="127">
        <v>680092.4</v>
      </c>
      <c r="S173" s="128">
        <v>625407.2</v>
      </c>
      <c r="T173" s="128">
        <v>642540.6</v>
      </c>
    </row>
    <row r="174" spans="1:20" s="129" customFormat="1" ht="49.5" customHeight="1">
      <c r="A174" s="50"/>
      <c r="B174" s="51" t="s">
        <v>180</v>
      </c>
      <c r="C174" s="46">
        <f>C175+C176+C177+C178+C179</f>
        <v>-4500</v>
      </c>
      <c r="D174" s="46">
        <f>D175+D176+D177+D178+D179</f>
        <v>-9600</v>
      </c>
      <c r="E174" s="46">
        <f>E175+E176+E177+E178+E179</f>
        <v>17800</v>
      </c>
      <c r="F174" s="46">
        <f>F175+F176+F177+F178+F179</f>
        <v>18500</v>
      </c>
      <c r="G174" s="46" t="s">
        <v>50</v>
      </c>
      <c r="H174" s="46" t="s">
        <v>50</v>
      </c>
      <c r="I174" s="46" t="s">
        <v>50</v>
      </c>
      <c r="J174" s="46" t="s">
        <v>50</v>
      </c>
      <c r="K174" s="46" t="s">
        <v>50</v>
      </c>
      <c r="L174" s="46" t="s">
        <v>50</v>
      </c>
      <c r="M174" s="46" t="s">
        <v>50</v>
      </c>
      <c r="N174" s="46" t="s">
        <v>50</v>
      </c>
      <c r="O174" s="46" t="s">
        <v>50</v>
      </c>
      <c r="P174" s="126">
        <f t="shared" si="29"/>
        <v>-1.560633031773513</v>
      </c>
      <c r="R174" s="127">
        <v>680092.4</v>
      </c>
      <c r="S174" s="128">
        <v>625407.2</v>
      </c>
      <c r="T174" s="128">
        <v>642540.6</v>
      </c>
    </row>
    <row r="175" spans="1:20" ht="65.25" customHeight="1">
      <c r="A175" s="160" t="s">
        <v>3</v>
      </c>
      <c r="B175" s="48" t="s">
        <v>181</v>
      </c>
      <c r="C175" s="47">
        <f>0</f>
        <v>0</v>
      </c>
      <c r="D175" s="47">
        <f>0</f>
        <v>0</v>
      </c>
      <c r="E175" s="47">
        <v>17800</v>
      </c>
      <c r="F175" s="47">
        <v>36300</v>
      </c>
      <c r="G175" s="47" t="s">
        <v>50</v>
      </c>
      <c r="H175" s="47" t="s">
        <v>50</v>
      </c>
      <c r="I175" s="47" t="s">
        <v>50</v>
      </c>
      <c r="J175" s="47" t="s">
        <v>50</v>
      </c>
      <c r="K175" s="47" t="s">
        <v>50</v>
      </c>
      <c r="L175" s="47" t="s">
        <v>50</v>
      </c>
      <c r="M175" s="47" t="s">
        <v>50</v>
      </c>
      <c r="N175" s="47" t="s">
        <v>50</v>
      </c>
      <c r="O175" s="47" t="s">
        <v>50</v>
      </c>
      <c r="P175" s="137">
        <f t="shared" si="29"/>
        <v>0</v>
      </c>
      <c r="R175" s="138">
        <v>680092.4</v>
      </c>
      <c r="S175" s="139">
        <v>625407.2</v>
      </c>
      <c r="T175" s="139">
        <v>642540.6</v>
      </c>
    </row>
    <row r="176" spans="1:20" ht="55.5" customHeight="1">
      <c r="A176" s="135" t="s">
        <v>0</v>
      </c>
      <c r="B176" s="93" t="s">
        <v>182</v>
      </c>
      <c r="C176" s="47">
        <v>-4500</v>
      </c>
      <c r="D176" s="47">
        <v>0</v>
      </c>
      <c r="E176" s="47">
        <v>0</v>
      </c>
      <c r="F176" s="47">
        <v>-17800</v>
      </c>
      <c r="G176" s="47" t="s">
        <v>50</v>
      </c>
      <c r="H176" s="47" t="s">
        <v>50</v>
      </c>
      <c r="I176" s="47" t="s">
        <v>50</v>
      </c>
      <c r="J176" s="47" t="s">
        <v>50</v>
      </c>
      <c r="K176" s="47" t="s">
        <v>50</v>
      </c>
      <c r="L176" s="47" t="s">
        <v>50</v>
      </c>
      <c r="M176" s="47" t="s">
        <v>50</v>
      </c>
      <c r="N176" s="47" t="s">
        <v>50</v>
      </c>
      <c r="O176" s="47" t="s">
        <v>50</v>
      </c>
      <c r="P176" s="137">
        <f t="shared" si="29"/>
        <v>0</v>
      </c>
      <c r="R176" s="138">
        <v>680092.4</v>
      </c>
      <c r="S176" s="139">
        <v>625407.2</v>
      </c>
      <c r="T176" s="139">
        <v>642540.6</v>
      </c>
    </row>
    <row r="177" spans="1:16" ht="89.25" customHeight="1">
      <c r="A177" s="161" t="s">
        <v>5</v>
      </c>
      <c r="B177" s="93" t="s">
        <v>10</v>
      </c>
      <c r="C177" s="47">
        <v>0</v>
      </c>
      <c r="D177" s="47">
        <v>0</v>
      </c>
      <c r="E177" s="47">
        <v>0</v>
      </c>
      <c r="F177" s="47">
        <v>0</v>
      </c>
      <c r="G177" s="47" t="s">
        <v>50</v>
      </c>
      <c r="H177" s="47" t="s">
        <v>50</v>
      </c>
      <c r="I177" s="47" t="s">
        <v>50</v>
      </c>
      <c r="J177" s="47" t="s">
        <v>50</v>
      </c>
      <c r="K177" s="47" t="s">
        <v>50</v>
      </c>
      <c r="L177" s="47" t="s">
        <v>50</v>
      </c>
      <c r="M177" s="47" t="s">
        <v>50</v>
      </c>
      <c r="N177" s="47" t="s">
        <v>50</v>
      </c>
      <c r="O177" s="47" t="s">
        <v>50</v>
      </c>
      <c r="P177" s="137">
        <f t="shared" si="29"/>
        <v>0</v>
      </c>
    </row>
    <row r="178" spans="1:16" ht="56.25">
      <c r="A178" s="161" t="s">
        <v>183</v>
      </c>
      <c r="B178" s="93" t="s">
        <v>4</v>
      </c>
      <c r="C178" s="47">
        <v>0</v>
      </c>
      <c r="D178" s="47">
        <v>-9600</v>
      </c>
      <c r="E178" s="47">
        <v>0</v>
      </c>
      <c r="F178" s="47">
        <v>0</v>
      </c>
      <c r="G178" s="47" t="s">
        <v>50</v>
      </c>
      <c r="H178" s="47" t="s">
        <v>50</v>
      </c>
      <c r="I178" s="47" t="s">
        <v>50</v>
      </c>
      <c r="J178" s="47" t="s">
        <v>50</v>
      </c>
      <c r="K178" s="47" t="s">
        <v>50</v>
      </c>
      <c r="L178" s="47" t="s">
        <v>50</v>
      </c>
      <c r="M178" s="47" t="s">
        <v>50</v>
      </c>
      <c r="N178" s="47" t="s">
        <v>50</v>
      </c>
      <c r="O178" s="47" t="s">
        <v>50</v>
      </c>
      <c r="P178" s="137">
        <f t="shared" si="29"/>
        <v>-1.560633031773513</v>
      </c>
    </row>
    <row r="179" spans="1:16" ht="32.25" customHeight="1">
      <c r="A179" s="135"/>
      <c r="B179" s="96" t="s">
        <v>184</v>
      </c>
      <c r="C179" s="47">
        <v>0</v>
      </c>
      <c r="D179" s="47">
        <v>0</v>
      </c>
      <c r="E179" s="47"/>
      <c r="F179" s="47"/>
      <c r="G179" s="47" t="s">
        <v>50</v>
      </c>
      <c r="H179" s="47" t="s">
        <v>50</v>
      </c>
      <c r="I179" s="47" t="s">
        <v>50</v>
      </c>
      <c r="J179" s="47" t="s">
        <v>50</v>
      </c>
      <c r="K179" s="47" t="s">
        <v>50</v>
      </c>
      <c r="L179" s="47" t="s">
        <v>50</v>
      </c>
      <c r="M179" s="47" t="s">
        <v>50</v>
      </c>
      <c r="N179" s="47" t="s">
        <v>50</v>
      </c>
      <c r="O179" s="47" t="s">
        <v>50</v>
      </c>
      <c r="P179" s="137">
        <f t="shared" si="29"/>
        <v>0</v>
      </c>
    </row>
    <row r="180" spans="1:16" s="165" customFormat="1" ht="18.75">
      <c r="A180" s="162"/>
      <c r="B180" s="163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164"/>
    </row>
    <row r="181" spans="1:16" s="165" customFormat="1" ht="18.75">
      <c r="A181" s="162"/>
      <c r="B181" s="163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164"/>
    </row>
    <row r="182" spans="1:16" s="165" customFormat="1" ht="18.75">
      <c r="A182" s="162"/>
      <c r="B182" s="163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164"/>
    </row>
    <row r="183" spans="1:16" ht="18.75">
      <c r="A183" s="11"/>
      <c r="B183" s="166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60"/>
    </row>
    <row r="184" spans="1:16" ht="18.75">
      <c r="A184" s="11"/>
      <c r="B184" s="166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60"/>
    </row>
    <row r="185" spans="1:16" ht="18.75">
      <c r="A185" s="11"/>
      <c r="B185" s="166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60"/>
    </row>
    <row r="186" spans="1:16" ht="18.75">
      <c r="A186" s="11"/>
      <c r="B186" s="166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60"/>
    </row>
  </sheetData>
  <sheetProtection/>
  <mergeCells count="14">
    <mergeCell ref="I4:I5"/>
    <mergeCell ref="J4:J5"/>
    <mergeCell ref="K4:K5"/>
    <mergeCell ref="L4:L5"/>
    <mergeCell ref="M4:M5"/>
    <mergeCell ref="N4:N5"/>
    <mergeCell ref="O4:O5"/>
    <mergeCell ref="A32:A33"/>
    <mergeCell ref="C4:F4"/>
    <mergeCell ref="A2:O2"/>
    <mergeCell ref="A4:A5"/>
    <mergeCell ref="B4:B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192"/>
  <sheetViews>
    <sheetView view="pageBreakPreview" zoomScaleSheetLayoutView="100" zoomScalePageLayoutView="0" workbookViewId="0" topLeftCell="A4">
      <pane xSplit="8" ySplit="3" topLeftCell="O7" activePane="bottomRight" state="frozen"/>
      <selection pane="topLeft" activeCell="A4" sqref="A4"/>
      <selection pane="topRight" activeCell="I4" sqref="I4"/>
      <selection pane="bottomLeft" activeCell="A7" sqref="A7"/>
      <selection pane="bottomRight" activeCell="R32" sqref="R32"/>
    </sheetView>
  </sheetViews>
  <sheetFormatPr defaultColWidth="9.140625" defaultRowHeight="12.75"/>
  <cols>
    <col min="1" max="1" width="24.7109375" style="2" customWidth="1"/>
    <col min="2" max="2" width="37.00390625" style="3" customWidth="1"/>
    <col min="3" max="3" width="14.140625" style="3" hidden="1" customWidth="1"/>
    <col min="4" max="4" width="14.00390625" style="3" hidden="1" customWidth="1"/>
    <col min="5" max="5" width="13.28125" style="3" hidden="1" customWidth="1"/>
    <col min="6" max="6" width="11.8515625" style="3" hidden="1" customWidth="1"/>
    <col min="7" max="7" width="13.28125" style="3" hidden="1" customWidth="1"/>
    <col min="8" max="8" width="12.421875" style="3" hidden="1" customWidth="1"/>
    <col min="9" max="9" width="11.8515625" style="3" customWidth="1"/>
    <col min="10" max="10" width="13.28125" style="3" customWidth="1"/>
    <col min="11" max="11" width="12.421875" style="3" customWidth="1"/>
    <col min="12" max="12" width="11.8515625" style="3" customWidth="1"/>
    <col min="13" max="13" width="13.28125" style="3" customWidth="1"/>
    <col min="14" max="14" width="12.421875" style="3" customWidth="1"/>
    <col min="15" max="15" width="11.8515625" style="3" customWidth="1"/>
    <col min="16" max="16" width="13.28125" style="3" customWidth="1"/>
    <col min="17" max="17" width="12.421875" style="3" customWidth="1"/>
    <col min="18" max="18" width="11.8515625" style="3" customWidth="1"/>
    <col min="19" max="19" width="13.28125" style="3" customWidth="1"/>
    <col min="20" max="20" width="12.421875" style="3" customWidth="1"/>
    <col min="21" max="16384" width="9.140625" style="3" customWidth="1"/>
  </cols>
  <sheetData>
    <row r="1" spans="1:10" s="1" customFormat="1" ht="45.75" customHeight="1">
      <c r="A1" s="194" t="s">
        <v>273</v>
      </c>
      <c r="B1" s="194"/>
      <c r="C1" s="194"/>
      <c r="D1" s="194"/>
      <c r="E1" s="194"/>
      <c r="F1" s="194"/>
      <c r="G1" s="194"/>
      <c r="H1" s="194"/>
      <c r="I1" s="194"/>
      <c r="J1" s="194"/>
    </row>
    <row r="2" ht="2.25" customHeight="1"/>
    <row r="3" spans="4:20" ht="16.5">
      <c r="D3" s="195"/>
      <c r="E3" s="195"/>
      <c r="G3" s="191"/>
      <c r="H3" s="191"/>
      <c r="J3" s="191"/>
      <c r="K3" s="191"/>
      <c r="M3" s="191" t="s">
        <v>2</v>
      </c>
      <c r="N3" s="191"/>
      <c r="P3" s="191" t="s">
        <v>2</v>
      </c>
      <c r="Q3" s="191"/>
      <c r="S3" s="191" t="s">
        <v>2</v>
      </c>
      <c r="T3" s="191"/>
    </row>
    <row r="4" spans="1:20" s="5" customFormat="1" ht="25.5" customHeight="1">
      <c r="A4" s="196" t="s">
        <v>198</v>
      </c>
      <c r="B4" s="197" t="s">
        <v>14</v>
      </c>
      <c r="C4" s="199" t="s">
        <v>16</v>
      </c>
      <c r="D4" s="199"/>
      <c r="E4" s="199"/>
      <c r="F4" s="199" t="s">
        <v>185</v>
      </c>
      <c r="G4" s="199"/>
      <c r="H4" s="199"/>
      <c r="I4" s="200" t="s">
        <v>218</v>
      </c>
      <c r="J4" s="200"/>
      <c r="K4" s="200"/>
      <c r="L4" s="193" t="s">
        <v>219</v>
      </c>
      <c r="M4" s="193"/>
      <c r="N4" s="193"/>
      <c r="O4" s="192" t="s">
        <v>220</v>
      </c>
      <c r="P4" s="192"/>
      <c r="Q4" s="192"/>
      <c r="R4" s="192" t="s">
        <v>275</v>
      </c>
      <c r="S4" s="192"/>
      <c r="T4" s="192"/>
    </row>
    <row r="5" spans="1:20" s="5" customFormat="1" ht="68.25" customHeight="1">
      <c r="A5" s="196"/>
      <c r="B5" s="198"/>
      <c r="C5" s="23" t="s">
        <v>199</v>
      </c>
      <c r="D5" s="23" t="s">
        <v>200</v>
      </c>
      <c r="E5" s="23" t="s">
        <v>201</v>
      </c>
      <c r="F5" s="23" t="s">
        <v>199</v>
      </c>
      <c r="G5" s="23" t="s">
        <v>200</v>
      </c>
      <c r="H5" s="23" t="s">
        <v>201</v>
      </c>
      <c r="I5" s="23" t="s">
        <v>199</v>
      </c>
      <c r="J5" s="23" t="s">
        <v>200</v>
      </c>
      <c r="K5" s="23" t="s">
        <v>201</v>
      </c>
      <c r="L5" s="23" t="s">
        <v>199</v>
      </c>
      <c r="M5" s="23" t="s">
        <v>200</v>
      </c>
      <c r="N5" s="23" t="s">
        <v>201</v>
      </c>
      <c r="O5" s="23" t="s">
        <v>199</v>
      </c>
      <c r="P5" s="23" t="s">
        <v>200</v>
      </c>
      <c r="Q5" s="23" t="s">
        <v>201</v>
      </c>
      <c r="R5" s="23" t="s">
        <v>199</v>
      </c>
      <c r="S5" s="23" t="s">
        <v>200</v>
      </c>
      <c r="T5" s="23" t="s">
        <v>201</v>
      </c>
    </row>
    <row r="6" spans="1:20" ht="39" customHeight="1">
      <c r="A6" s="24" t="s">
        <v>17</v>
      </c>
      <c r="B6" s="25" t="s">
        <v>202</v>
      </c>
      <c r="C6" s="26">
        <f>SUM(C7:C21)</f>
        <v>140527.3</v>
      </c>
      <c r="D6" s="26">
        <f>SUM(D7:D21)</f>
        <v>78498.5</v>
      </c>
      <c r="E6" s="26">
        <f>C6+D6</f>
        <v>219025.8</v>
      </c>
      <c r="F6" s="26">
        <f>SUM(F7:F21)</f>
        <v>156832.49999999997</v>
      </c>
      <c r="G6" s="26">
        <f>SUM(G7:G21)</f>
        <v>79501.5</v>
      </c>
      <c r="H6" s="26">
        <f>F6+G6</f>
        <v>236333.99999999997</v>
      </c>
      <c r="I6" s="26">
        <f>SUM(I7:I21)</f>
        <v>170110.4</v>
      </c>
      <c r="J6" s="26">
        <f>SUM(J7:J21)</f>
        <v>98087.4</v>
      </c>
      <c r="K6" s="26">
        <f>I6+J6</f>
        <v>268197.8</v>
      </c>
      <c r="L6" s="100">
        <f>SUM(L7:L21)</f>
        <v>172705.59999999998</v>
      </c>
      <c r="M6" s="100">
        <f>SUM(M7:M21)</f>
        <v>97666.1</v>
      </c>
      <c r="N6" s="100">
        <f>L6+M6</f>
        <v>270371.69999999995</v>
      </c>
      <c r="O6" s="100">
        <f>SUM(O7:O21)</f>
        <v>178920.09999999998</v>
      </c>
      <c r="P6" s="100">
        <f>SUM(P7:P21)</f>
        <v>101184.5</v>
      </c>
      <c r="Q6" s="100">
        <f>O6+P6</f>
        <v>280104.6</v>
      </c>
      <c r="R6" s="100">
        <f>SUM(R7:R21)</f>
        <v>185361.2</v>
      </c>
      <c r="S6" s="100">
        <f>SUM(S7:S21)</f>
        <v>104827.1</v>
      </c>
      <c r="T6" s="100">
        <f>R6+S6</f>
        <v>290188.30000000005</v>
      </c>
    </row>
    <row r="7" spans="1:20" ht="18.75" customHeight="1">
      <c r="A7" s="27" t="s">
        <v>19</v>
      </c>
      <c r="B7" s="28" t="s">
        <v>20</v>
      </c>
      <c r="C7" s="29">
        <v>104870</v>
      </c>
      <c r="D7" s="29">
        <v>39230</v>
      </c>
      <c r="E7" s="29">
        <f>C7+D7</f>
        <v>144100</v>
      </c>
      <c r="F7" s="29">
        <v>107860</v>
      </c>
      <c r="G7" s="29">
        <v>39940</v>
      </c>
      <c r="H7" s="26">
        <f>F7+G7</f>
        <v>147800</v>
      </c>
      <c r="I7" s="29">
        <v>113067</v>
      </c>
      <c r="J7" s="29">
        <v>42933</v>
      </c>
      <c r="K7" s="26">
        <f>I7+J7</f>
        <v>156000</v>
      </c>
      <c r="L7" s="103">
        <v>119313</v>
      </c>
      <c r="M7" s="29">
        <v>44487</v>
      </c>
      <c r="N7" s="26">
        <f>L7+M7</f>
        <v>163800</v>
      </c>
      <c r="O7" s="103">
        <f>123608.3</f>
        <v>123608.3</v>
      </c>
      <c r="P7" s="29">
        <v>46088.5</v>
      </c>
      <c r="Q7" s="26">
        <f>O7+P7</f>
        <v>169696.8</v>
      </c>
      <c r="R7" s="104">
        <f>128058.3</f>
        <v>128058.3</v>
      </c>
      <c r="S7" s="29">
        <v>47747.6</v>
      </c>
      <c r="T7" s="26">
        <f>R7+S7</f>
        <v>175805.9</v>
      </c>
    </row>
    <row r="8" spans="1:20" ht="19.5" customHeight="1">
      <c r="A8" s="27" t="s">
        <v>21</v>
      </c>
      <c r="B8" s="28" t="s">
        <v>22</v>
      </c>
      <c r="C8" s="29">
        <v>3607.4</v>
      </c>
      <c r="D8" s="29">
        <v>7808.5</v>
      </c>
      <c r="E8" s="29">
        <f>C8+D8</f>
        <v>11415.9</v>
      </c>
      <c r="F8" s="30">
        <f>5703.4+7427.9</f>
        <v>13131.3</v>
      </c>
      <c r="G8" s="30">
        <f>(12350-8036.2)</f>
        <v>4313.8</v>
      </c>
      <c r="H8" s="30">
        <f>F8+G8</f>
        <v>17445.1</v>
      </c>
      <c r="I8" s="101">
        <v>18984.4</v>
      </c>
      <c r="J8" s="101">
        <v>4662.4</v>
      </c>
      <c r="K8" s="30">
        <f>I8+J8</f>
        <v>23646.800000000003</v>
      </c>
      <c r="L8" s="103">
        <v>19241.3</v>
      </c>
      <c r="M8" s="101">
        <v>4809.1</v>
      </c>
      <c r="N8" s="30">
        <f>L8+M8</f>
        <v>24050.4</v>
      </c>
      <c r="O8" s="103">
        <f>19934</f>
        <v>19934</v>
      </c>
      <c r="P8" s="101">
        <v>4982.2</v>
      </c>
      <c r="Q8" s="30">
        <f>O8+P8</f>
        <v>24916.2</v>
      </c>
      <c r="R8" s="104">
        <f>20651.6</f>
        <v>20651.6</v>
      </c>
      <c r="S8" s="101">
        <v>5161.6</v>
      </c>
      <c r="T8" s="30">
        <f>R8+S8</f>
        <v>25813.199999999997</v>
      </c>
    </row>
    <row r="9" spans="1:20" ht="25.5" customHeight="1">
      <c r="A9" s="27" t="s">
        <v>23</v>
      </c>
      <c r="B9" s="28" t="s">
        <v>24</v>
      </c>
      <c r="C9" s="29">
        <v>19000</v>
      </c>
      <c r="D9" s="29">
        <v>0</v>
      </c>
      <c r="E9" s="29">
        <f aca="true" t="shared" si="0" ref="E9:E22">C9+D9</f>
        <v>19000</v>
      </c>
      <c r="F9" s="29">
        <v>21000</v>
      </c>
      <c r="G9" s="29">
        <v>0</v>
      </c>
      <c r="H9" s="26">
        <f aca="true" t="shared" si="1" ref="H9:H22">F9+G9</f>
        <v>21000</v>
      </c>
      <c r="I9" s="29">
        <v>17200</v>
      </c>
      <c r="J9" s="29">
        <v>0</v>
      </c>
      <c r="K9" s="26">
        <f aca="true" t="shared" si="2" ref="K9:K22">I9+J9</f>
        <v>17200</v>
      </c>
      <c r="L9" s="103">
        <f>12500</f>
        <v>12500</v>
      </c>
      <c r="M9" s="29">
        <v>0</v>
      </c>
      <c r="N9" s="26">
        <f aca="true" t="shared" si="3" ref="N9:N22">L9+M9</f>
        <v>12500</v>
      </c>
      <c r="O9" s="103">
        <f>12950</f>
        <v>12950</v>
      </c>
      <c r="P9" s="29">
        <v>0</v>
      </c>
      <c r="Q9" s="26">
        <f aca="true" t="shared" si="4" ref="Q9:Q22">O9+P9</f>
        <v>12950</v>
      </c>
      <c r="R9" s="104">
        <f>13416.2</f>
        <v>13416.2</v>
      </c>
      <c r="S9" s="29">
        <v>0</v>
      </c>
      <c r="T9" s="26">
        <f aca="true" t="shared" si="5" ref="T9:T22">R9+S9</f>
        <v>13416.2</v>
      </c>
    </row>
    <row r="10" spans="1:20" ht="18.75">
      <c r="A10" s="27" t="s">
        <v>25</v>
      </c>
      <c r="B10" s="28" t="s">
        <v>26</v>
      </c>
      <c r="C10" s="29">
        <v>3500</v>
      </c>
      <c r="D10" s="29">
        <v>1500</v>
      </c>
      <c r="E10" s="29">
        <f t="shared" si="0"/>
        <v>5000</v>
      </c>
      <c r="F10" s="29">
        <v>4100</v>
      </c>
      <c r="G10" s="29">
        <v>1900</v>
      </c>
      <c r="H10" s="26">
        <f t="shared" si="1"/>
        <v>6000</v>
      </c>
      <c r="I10" s="29">
        <v>8865</v>
      </c>
      <c r="J10" s="29">
        <v>6135</v>
      </c>
      <c r="K10" s="26">
        <f t="shared" si="2"/>
        <v>15000</v>
      </c>
      <c r="L10" s="103">
        <f>8776</f>
        <v>8776</v>
      </c>
      <c r="M10" s="29">
        <v>6231</v>
      </c>
      <c r="N10" s="26">
        <f t="shared" si="3"/>
        <v>15007</v>
      </c>
      <c r="O10" s="103">
        <f>9091.9</f>
        <v>9091.9</v>
      </c>
      <c r="P10" s="29">
        <v>6455.2</v>
      </c>
      <c r="Q10" s="26">
        <f t="shared" si="4"/>
        <v>15547.099999999999</v>
      </c>
      <c r="R10" s="104">
        <f>9419.2</f>
        <v>9419.2</v>
      </c>
      <c r="S10" s="29">
        <v>6687.5</v>
      </c>
      <c r="T10" s="26">
        <f t="shared" si="5"/>
        <v>16106.7</v>
      </c>
    </row>
    <row r="11" spans="1:20" ht="18.75" customHeight="1">
      <c r="A11" s="27" t="s">
        <v>27</v>
      </c>
      <c r="B11" s="28" t="s">
        <v>28</v>
      </c>
      <c r="C11" s="29">
        <v>0</v>
      </c>
      <c r="D11" s="29">
        <v>6000</v>
      </c>
      <c r="E11" s="29">
        <f t="shared" si="0"/>
        <v>6000</v>
      </c>
      <c r="F11" s="29">
        <v>0</v>
      </c>
      <c r="G11" s="29">
        <v>7000</v>
      </c>
      <c r="H11" s="26">
        <f t="shared" si="1"/>
        <v>7000</v>
      </c>
      <c r="I11" s="29">
        <v>0</v>
      </c>
      <c r="J11" s="29">
        <v>12985</v>
      </c>
      <c r="K11" s="26">
        <f t="shared" si="2"/>
        <v>12985</v>
      </c>
      <c r="L11" s="103">
        <f>100</f>
        <v>100</v>
      </c>
      <c r="M11" s="29">
        <v>9834</v>
      </c>
      <c r="N11" s="26">
        <f t="shared" si="3"/>
        <v>9934</v>
      </c>
      <c r="O11" s="103">
        <f>103.6</f>
        <v>103.6</v>
      </c>
      <c r="P11" s="29">
        <v>10188</v>
      </c>
      <c r="Q11" s="26">
        <f t="shared" si="4"/>
        <v>10291.6</v>
      </c>
      <c r="R11" s="104">
        <f>107.3</f>
        <v>107.3</v>
      </c>
      <c r="S11" s="29">
        <v>10554.7</v>
      </c>
      <c r="T11" s="26">
        <f t="shared" si="5"/>
        <v>10662</v>
      </c>
    </row>
    <row r="12" spans="1:20" ht="55.5" customHeight="1">
      <c r="A12" s="169">
        <v>10504000000000100</v>
      </c>
      <c r="B12" s="168" t="s">
        <v>274</v>
      </c>
      <c r="C12" s="29"/>
      <c r="D12" s="29"/>
      <c r="E12" s="29"/>
      <c r="F12" s="29"/>
      <c r="G12" s="29"/>
      <c r="H12" s="26"/>
      <c r="I12" s="29"/>
      <c r="J12" s="29"/>
      <c r="K12" s="26"/>
      <c r="L12" s="105"/>
      <c r="M12" s="29"/>
      <c r="N12" s="26"/>
      <c r="O12" s="105"/>
      <c r="P12" s="29"/>
      <c r="Q12" s="26"/>
      <c r="R12" s="105"/>
      <c r="S12" s="29"/>
      <c r="T12" s="26"/>
    </row>
    <row r="13" spans="1:20" ht="20.25" customHeight="1">
      <c r="A13" s="27" t="s">
        <v>29</v>
      </c>
      <c r="B13" s="28" t="s">
        <v>30</v>
      </c>
      <c r="C13" s="29">
        <f>0</f>
        <v>0</v>
      </c>
      <c r="D13" s="29">
        <v>0</v>
      </c>
      <c r="E13" s="29">
        <f t="shared" si="0"/>
        <v>0</v>
      </c>
      <c r="F13" s="29">
        <v>0</v>
      </c>
      <c r="G13" s="29">
        <v>0</v>
      </c>
      <c r="H13" s="26">
        <f t="shared" si="1"/>
        <v>0</v>
      </c>
      <c r="I13" s="29">
        <v>0</v>
      </c>
      <c r="J13" s="29">
        <v>0</v>
      </c>
      <c r="K13" s="26">
        <f t="shared" si="2"/>
        <v>0</v>
      </c>
      <c r="L13" s="105">
        <v>0</v>
      </c>
      <c r="M13" s="29">
        <v>0</v>
      </c>
      <c r="N13" s="26">
        <f t="shared" si="3"/>
        <v>0</v>
      </c>
      <c r="O13" s="105"/>
      <c r="P13" s="29">
        <v>0</v>
      </c>
      <c r="Q13" s="26">
        <f t="shared" si="4"/>
        <v>0</v>
      </c>
      <c r="R13" s="105"/>
      <c r="S13" s="29">
        <v>0</v>
      </c>
      <c r="T13" s="26">
        <f t="shared" si="5"/>
        <v>0</v>
      </c>
    </row>
    <row r="14" spans="1:20" ht="20.25" customHeight="1">
      <c r="A14" s="27" t="s">
        <v>31</v>
      </c>
      <c r="B14" s="28" t="s">
        <v>32</v>
      </c>
      <c r="C14" s="29">
        <v>0</v>
      </c>
      <c r="D14" s="29">
        <v>21000</v>
      </c>
      <c r="E14" s="29">
        <f t="shared" si="0"/>
        <v>21000</v>
      </c>
      <c r="F14" s="29">
        <v>0</v>
      </c>
      <c r="G14" s="29">
        <v>23000</v>
      </c>
      <c r="H14" s="26">
        <f t="shared" si="1"/>
        <v>23000</v>
      </c>
      <c r="I14" s="29">
        <v>0</v>
      </c>
      <c r="J14" s="29">
        <v>27100</v>
      </c>
      <c r="K14" s="26">
        <f t="shared" si="2"/>
        <v>27100</v>
      </c>
      <c r="L14" s="105"/>
      <c r="M14" s="29">
        <f>10200+17800</f>
        <v>28000</v>
      </c>
      <c r="N14" s="26">
        <f t="shared" si="3"/>
        <v>28000</v>
      </c>
      <c r="O14" s="105"/>
      <c r="P14" s="29">
        <f>29008</f>
        <v>29008</v>
      </c>
      <c r="Q14" s="26">
        <f t="shared" si="4"/>
        <v>29008</v>
      </c>
      <c r="R14" s="105"/>
      <c r="S14" s="29">
        <v>30052.3</v>
      </c>
      <c r="T14" s="26">
        <f t="shared" si="5"/>
        <v>30052.3</v>
      </c>
    </row>
    <row r="15" spans="1:20" ht="19.5" customHeight="1">
      <c r="A15" s="27" t="s">
        <v>33</v>
      </c>
      <c r="B15" s="28" t="s">
        <v>34</v>
      </c>
      <c r="C15" s="29">
        <v>3125</v>
      </c>
      <c r="D15" s="29">
        <f>60</f>
        <v>60</v>
      </c>
      <c r="E15" s="29">
        <f t="shared" si="0"/>
        <v>3185</v>
      </c>
      <c r="F15" s="29">
        <v>3420</v>
      </c>
      <c r="G15" s="29">
        <v>73</v>
      </c>
      <c r="H15" s="26">
        <f t="shared" si="1"/>
        <v>3493</v>
      </c>
      <c r="I15" s="29">
        <v>3500</v>
      </c>
      <c r="J15" s="29">
        <f>72</f>
        <v>72</v>
      </c>
      <c r="K15" s="26">
        <f t="shared" si="2"/>
        <v>3572</v>
      </c>
      <c r="L15" s="103">
        <f>4676</f>
        <v>4676</v>
      </c>
      <c r="M15" s="29">
        <v>90</v>
      </c>
      <c r="N15" s="26">
        <f t="shared" si="3"/>
        <v>4766</v>
      </c>
      <c r="O15" s="103">
        <f>4841.3</f>
        <v>4841.3</v>
      </c>
      <c r="P15" s="29">
        <v>96</v>
      </c>
      <c r="Q15" s="26">
        <f t="shared" si="4"/>
        <v>4937.3</v>
      </c>
      <c r="R15" s="104">
        <f>5015.6</f>
        <v>5015.6</v>
      </c>
      <c r="S15" s="29">
        <v>99.6</v>
      </c>
      <c r="T15" s="26">
        <f t="shared" si="5"/>
        <v>5115.200000000001</v>
      </c>
    </row>
    <row r="16" spans="1:20" ht="21.75" customHeight="1">
      <c r="A16" s="27" t="s">
        <v>35</v>
      </c>
      <c r="B16" s="28" t="s">
        <v>36</v>
      </c>
      <c r="C16" s="29">
        <v>3100</v>
      </c>
      <c r="D16" s="29">
        <v>1900</v>
      </c>
      <c r="E16" s="29">
        <f t="shared" si="0"/>
        <v>5000</v>
      </c>
      <c r="F16" s="29">
        <v>4000</v>
      </c>
      <c r="G16" s="29">
        <v>1900</v>
      </c>
      <c r="H16" s="26">
        <f t="shared" si="1"/>
        <v>5900</v>
      </c>
      <c r="I16" s="29">
        <f>4100</f>
        <v>4100</v>
      </c>
      <c r="J16" s="29">
        <f>1900</f>
        <v>1900</v>
      </c>
      <c r="K16" s="26">
        <f t="shared" si="2"/>
        <v>6000</v>
      </c>
      <c r="L16" s="103">
        <v>4400</v>
      </c>
      <c r="M16" s="29">
        <f>1900</f>
        <v>1900</v>
      </c>
      <c r="N16" s="26">
        <f t="shared" si="3"/>
        <v>6300</v>
      </c>
      <c r="O16" s="106">
        <v>4558</v>
      </c>
      <c r="P16" s="29">
        <v>1968</v>
      </c>
      <c r="Q16" s="26">
        <f t="shared" si="4"/>
        <v>6526</v>
      </c>
      <c r="R16" s="104">
        <v>4722.1</v>
      </c>
      <c r="S16" s="29">
        <v>2038.8</v>
      </c>
      <c r="T16" s="26">
        <f t="shared" si="5"/>
        <v>6760.900000000001</v>
      </c>
    </row>
    <row r="17" spans="1:20" ht="21.75" customHeight="1">
      <c r="A17" s="27" t="s">
        <v>37</v>
      </c>
      <c r="B17" s="28" t="s">
        <v>38</v>
      </c>
      <c r="C17" s="29">
        <f>200</f>
        <v>200</v>
      </c>
      <c r="D17" s="29">
        <f>500+400</f>
        <v>900</v>
      </c>
      <c r="E17" s="29">
        <f t="shared" si="0"/>
        <v>1100</v>
      </c>
      <c r="F17" s="29">
        <v>500</v>
      </c>
      <c r="G17" s="29">
        <v>1000</v>
      </c>
      <c r="H17" s="26">
        <f t="shared" si="1"/>
        <v>1500</v>
      </c>
      <c r="I17" s="29">
        <v>400</v>
      </c>
      <c r="J17" s="29">
        <f>1600+300</f>
        <v>1900</v>
      </c>
      <c r="K17" s="26">
        <f t="shared" si="2"/>
        <v>2300</v>
      </c>
      <c r="L17" s="105">
        <v>400</v>
      </c>
      <c r="M17" s="29">
        <f>1615+300</f>
        <v>1915</v>
      </c>
      <c r="N17" s="26">
        <f t="shared" si="3"/>
        <v>2315</v>
      </c>
      <c r="O17" s="105">
        <v>415</v>
      </c>
      <c r="P17" s="29">
        <f>1672.6+311</f>
        <v>1983.6</v>
      </c>
      <c r="Q17" s="26">
        <f t="shared" si="4"/>
        <v>2398.6</v>
      </c>
      <c r="R17" s="105">
        <v>429.9</v>
      </c>
      <c r="S17" s="29">
        <f>1732.9+322.2</f>
        <v>2055.1</v>
      </c>
      <c r="T17" s="26">
        <f t="shared" si="5"/>
        <v>2485</v>
      </c>
    </row>
    <row r="18" spans="1:20" ht="34.5" customHeight="1">
      <c r="A18" s="27" t="s">
        <v>39</v>
      </c>
      <c r="B18" s="28" t="s">
        <v>40</v>
      </c>
      <c r="C18" s="29">
        <v>1139.9</v>
      </c>
      <c r="D18" s="29">
        <v>0</v>
      </c>
      <c r="E18" s="29">
        <f t="shared" si="0"/>
        <v>1139.9</v>
      </c>
      <c r="F18" s="29">
        <v>436.6</v>
      </c>
      <c r="G18" s="29">
        <v>0</v>
      </c>
      <c r="H18" s="26">
        <f t="shared" si="1"/>
        <v>436.6</v>
      </c>
      <c r="I18" s="29">
        <v>872</v>
      </c>
      <c r="J18" s="29">
        <v>0</v>
      </c>
      <c r="K18" s="26">
        <f t="shared" si="2"/>
        <v>872</v>
      </c>
      <c r="L18" s="103">
        <f>660</f>
        <v>660</v>
      </c>
      <c r="M18" s="29">
        <v>0</v>
      </c>
      <c r="N18" s="26">
        <f t="shared" si="3"/>
        <v>660</v>
      </c>
      <c r="O18" s="103">
        <f>684</f>
        <v>684</v>
      </c>
      <c r="P18" s="29">
        <v>0</v>
      </c>
      <c r="Q18" s="26">
        <f t="shared" si="4"/>
        <v>684</v>
      </c>
      <c r="R18" s="104">
        <f>708.6</f>
        <v>708.6</v>
      </c>
      <c r="S18" s="29">
        <v>0</v>
      </c>
      <c r="T18" s="26">
        <f t="shared" si="5"/>
        <v>708.6</v>
      </c>
    </row>
    <row r="19" spans="1:20" ht="33" hidden="1">
      <c r="A19" s="27" t="s">
        <v>41</v>
      </c>
      <c r="B19" s="28" t="s">
        <v>42</v>
      </c>
      <c r="C19" s="29">
        <v>0</v>
      </c>
      <c r="D19" s="29">
        <v>0</v>
      </c>
      <c r="E19" s="29">
        <f t="shared" si="0"/>
        <v>0</v>
      </c>
      <c r="F19" s="29">
        <v>0</v>
      </c>
      <c r="G19" s="29">
        <v>0</v>
      </c>
      <c r="H19" s="26">
        <f t="shared" si="1"/>
        <v>0</v>
      </c>
      <c r="I19" s="29">
        <v>0</v>
      </c>
      <c r="J19" s="29">
        <v>0</v>
      </c>
      <c r="K19" s="26">
        <f t="shared" si="2"/>
        <v>0</v>
      </c>
      <c r="L19" s="105">
        <v>0</v>
      </c>
      <c r="M19" s="29">
        <v>0</v>
      </c>
      <c r="N19" s="26">
        <f t="shared" si="3"/>
        <v>0</v>
      </c>
      <c r="O19" s="105"/>
      <c r="P19" s="29">
        <v>0</v>
      </c>
      <c r="Q19" s="26">
        <f t="shared" si="4"/>
        <v>0</v>
      </c>
      <c r="R19" s="105"/>
      <c r="S19" s="29">
        <v>0</v>
      </c>
      <c r="T19" s="26">
        <f t="shared" si="5"/>
        <v>0</v>
      </c>
    </row>
    <row r="20" spans="1:20" ht="22.5" customHeight="1">
      <c r="A20" s="27" t="s">
        <v>43</v>
      </c>
      <c r="B20" s="28" t="s">
        <v>44</v>
      </c>
      <c r="C20" s="29">
        <v>100</v>
      </c>
      <c r="D20" s="29">
        <v>100</v>
      </c>
      <c r="E20" s="29">
        <f t="shared" si="0"/>
        <v>200</v>
      </c>
      <c r="F20" s="29">
        <v>481.3</v>
      </c>
      <c r="G20" s="29">
        <v>374.7</v>
      </c>
      <c r="H20" s="26">
        <f t="shared" si="1"/>
        <v>856</v>
      </c>
      <c r="I20" s="29">
        <f>700</f>
        <v>700</v>
      </c>
      <c r="J20" s="29">
        <v>400</v>
      </c>
      <c r="K20" s="26">
        <f t="shared" si="2"/>
        <v>1100</v>
      </c>
      <c r="L20" s="103">
        <f>700</f>
        <v>700</v>
      </c>
      <c r="M20" s="29">
        <v>400</v>
      </c>
      <c r="N20" s="26">
        <f t="shared" si="3"/>
        <v>1100</v>
      </c>
      <c r="O20" s="103">
        <f>725</f>
        <v>725</v>
      </c>
      <c r="P20" s="29">
        <f>415</f>
        <v>415</v>
      </c>
      <c r="Q20" s="26">
        <f t="shared" si="4"/>
        <v>1140</v>
      </c>
      <c r="R20" s="104">
        <f>751.1</f>
        <v>751.1</v>
      </c>
      <c r="S20" s="29">
        <v>429.9</v>
      </c>
      <c r="T20" s="26">
        <f t="shared" si="5"/>
        <v>1181</v>
      </c>
    </row>
    <row r="21" spans="1:20" ht="31.5" customHeight="1">
      <c r="A21" s="27" t="s">
        <v>45</v>
      </c>
      <c r="B21" s="31" t="s">
        <v>203</v>
      </c>
      <c r="C21" s="29">
        <v>1885</v>
      </c>
      <c r="D21" s="29">
        <v>0</v>
      </c>
      <c r="E21" s="29">
        <f t="shared" si="0"/>
        <v>1885</v>
      </c>
      <c r="F21" s="29">
        <v>1903.3</v>
      </c>
      <c r="G21" s="29">
        <v>0</v>
      </c>
      <c r="H21" s="26">
        <f t="shared" si="1"/>
        <v>1903.3</v>
      </c>
      <c r="I21" s="29">
        <f>1107+1315</f>
        <v>2422</v>
      </c>
      <c r="J21" s="29">
        <v>0</v>
      </c>
      <c r="K21" s="26">
        <f t="shared" si="2"/>
        <v>2422</v>
      </c>
      <c r="L21" s="103">
        <f>493.3+1446</f>
        <v>1939.3</v>
      </c>
      <c r="M21" s="29">
        <v>0</v>
      </c>
      <c r="N21" s="26">
        <f t="shared" si="3"/>
        <v>1939.3</v>
      </c>
      <c r="O21" s="103">
        <f>511+1498</f>
        <v>2009</v>
      </c>
      <c r="P21" s="29">
        <v>0</v>
      </c>
      <c r="Q21" s="26">
        <f t="shared" si="4"/>
        <v>2009</v>
      </c>
      <c r="R21" s="104">
        <f>529.4+1551.9</f>
        <v>2081.3</v>
      </c>
      <c r="S21" s="29">
        <v>0</v>
      </c>
      <c r="T21" s="26">
        <f t="shared" si="5"/>
        <v>2081.3</v>
      </c>
    </row>
    <row r="22" spans="1:20" ht="20.25" customHeight="1">
      <c r="A22" s="27" t="s">
        <v>46</v>
      </c>
      <c r="B22" s="28" t="s">
        <v>47</v>
      </c>
      <c r="C22" s="29">
        <v>710</v>
      </c>
      <c r="D22" s="29">
        <v>0</v>
      </c>
      <c r="E22" s="29">
        <f t="shared" si="0"/>
        <v>710</v>
      </c>
      <c r="F22" s="29">
        <v>866.5</v>
      </c>
      <c r="G22" s="29">
        <v>0</v>
      </c>
      <c r="H22" s="26">
        <f t="shared" si="1"/>
        <v>866.5</v>
      </c>
      <c r="I22" s="29">
        <v>1315</v>
      </c>
      <c r="J22" s="29">
        <v>0</v>
      </c>
      <c r="K22" s="26">
        <f t="shared" si="2"/>
        <v>1315</v>
      </c>
      <c r="L22" s="29">
        <v>1315</v>
      </c>
      <c r="M22" s="29">
        <v>0</v>
      </c>
      <c r="N22" s="26">
        <f t="shared" si="3"/>
        <v>1315</v>
      </c>
      <c r="O22" s="29">
        <v>1365</v>
      </c>
      <c r="P22" s="29">
        <v>0</v>
      </c>
      <c r="Q22" s="26">
        <f t="shared" si="4"/>
        <v>1365</v>
      </c>
      <c r="R22" s="29">
        <v>1417</v>
      </c>
      <c r="S22" s="29">
        <v>0</v>
      </c>
      <c r="T22" s="26">
        <f t="shared" si="5"/>
        <v>1417</v>
      </c>
    </row>
    <row r="23" spans="1:20" s="1" customFormat="1" ht="40.5" customHeight="1">
      <c r="A23" s="24" t="s">
        <v>48</v>
      </c>
      <c r="B23" s="32" t="s">
        <v>49</v>
      </c>
      <c r="C23" s="26">
        <f>C24+C26+C25+C27</f>
        <v>470182.5</v>
      </c>
      <c r="D23" s="26">
        <f>D24+D26+D25+D27</f>
        <v>8922.7</v>
      </c>
      <c r="E23" s="26">
        <f>E24+E25+E26+E27</f>
        <v>461924.2</v>
      </c>
      <c r="F23" s="26">
        <f>F24+F26+F25+F27</f>
        <v>457846.6</v>
      </c>
      <c r="G23" s="26">
        <f>G24+G26+G25+G27</f>
        <v>6090.9</v>
      </c>
      <c r="H23" s="26">
        <f>H24+H25+H26+H27</f>
        <v>456022.3</v>
      </c>
      <c r="I23" s="26">
        <f>I24+I26+I25+I27</f>
        <v>514482</v>
      </c>
      <c r="J23" s="26">
        <f>J24+J26+J25+J27</f>
        <v>3381.9</v>
      </c>
      <c r="K23" s="26">
        <f>K24+K25+K26+K27</f>
        <v>508497.1</v>
      </c>
      <c r="L23" s="26">
        <f>L24+L26+L25+L27</f>
        <v>551093.7999999999</v>
      </c>
      <c r="M23" s="26">
        <f>M24+M26+M25+M27</f>
        <v>6515.2</v>
      </c>
      <c r="N23" s="26">
        <f>N24+N25+N26+N27</f>
        <v>554842.5</v>
      </c>
      <c r="O23" s="26">
        <f>O24+O26+O25+O27</f>
        <v>475086.9</v>
      </c>
      <c r="P23" s="26">
        <f>P24+P26+P25+P27</f>
        <v>3661.5</v>
      </c>
      <c r="Q23" s="26">
        <f>Q24+Q25+Q26+Q27</f>
        <v>475887.5</v>
      </c>
      <c r="R23" s="26">
        <f>R24+R26+R25+R27</f>
        <v>481899.7</v>
      </c>
      <c r="S23" s="26">
        <f>S24+S26+S25+S27</f>
        <v>3745.7</v>
      </c>
      <c r="T23" s="26">
        <f>T24+T25+T26+T27</f>
        <v>482700.29999999993</v>
      </c>
    </row>
    <row r="24" spans="1:20" ht="21.75" customHeight="1">
      <c r="A24" s="27" t="s">
        <v>204</v>
      </c>
      <c r="B24" s="28" t="s">
        <v>13</v>
      </c>
      <c r="C24" s="29">
        <v>82161.1</v>
      </c>
      <c r="D24" s="29">
        <f>2693.9+2155.8</f>
        <v>4849.700000000001</v>
      </c>
      <c r="E24" s="29">
        <f>C24</f>
        <v>82161.1</v>
      </c>
      <c r="F24" s="29">
        <f>72050.2</f>
        <v>72050.2</v>
      </c>
      <c r="G24" s="30">
        <f>((1702.8-8.2-0-3.5+145.6-8.5-5.1)+2278.6)</f>
        <v>4101.7</v>
      </c>
      <c r="H24" s="29">
        <f>F24</f>
        <v>72050.2</v>
      </c>
      <c r="I24" s="29">
        <v>138965</v>
      </c>
      <c r="J24" s="29">
        <v>2475.8</v>
      </c>
      <c r="K24" s="29">
        <f>I24</f>
        <v>138965</v>
      </c>
      <c r="L24" s="107">
        <f>(105262.6+33602.7)</f>
        <v>138865.3</v>
      </c>
      <c r="M24" s="29">
        <v>2575.5</v>
      </c>
      <c r="N24" s="29">
        <f>L24</f>
        <v>138865.3</v>
      </c>
      <c r="O24" s="108">
        <f>(82320.4+0)</f>
        <v>82320.4</v>
      </c>
      <c r="P24" s="29">
        <v>2669.9</v>
      </c>
      <c r="Q24" s="29">
        <f>O24</f>
        <v>82320.4</v>
      </c>
      <c r="R24" s="109">
        <f>(65261.4+0)</f>
        <v>65261.4</v>
      </c>
      <c r="S24" s="29">
        <v>2754.1</v>
      </c>
      <c r="T24" s="29">
        <f>R24</f>
        <v>65261.4</v>
      </c>
    </row>
    <row r="25" spans="1:20" ht="21" customHeight="1">
      <c r="A25" s="27" t="s">
        <v>192</v>
      </c>
      <c r="B25" s="28" t="s">
        <v>51</v>
      </c>
      <c r="C25" s="29">
        <v>17264</v>
      </c>
      <c r="D25" s="29">
        <v>0</v>
      </c>
      <c r="E25" s="29">
        <f>C25+D25</f>
        <v>17264</v>
      </c>
      <c r="F25" s="29">
        <f>17245.8</f>
        <v>17245.8</v>
      </c>
      <c r="G25" s="29">
        <f>0</f>
        <v>0</v>
      </c>
      <c r="H25" s="29">
        <f>F25+G25</f>
        <v>17245.8</v>
      </c>
      <c r="I25" s="29">
        <v>25469</v>
      </c>
      <c r="J25" s="29">
        <f>0</f>
        <v>0</v>
      </c>
      <c r="K25" s="29">
        <f>I25+J25</f>
        <v>25469</v>
      </c>
      <c r="L25" s="107">
        <f>(9091.5+14195+14227.6+11796)</f>
        <v>49310.1</v>
      </c>
      <c r="M25" s="29">
        <v>2948.1</v>
      </c>
      <c r="N25" s="29">
        <f>L25+M25</f>
        <v>52258.2</v>
      </c>
      <c r="O25" s="108">
        <f>(0+15930+0+0)</f>
        <v>15930</v>
      </c>
      <c r="P25" s="29">
        <f>0</f>
        <v>0</v>
      </c>
      <c r="Q25" s="29">
        <f>O25+P25</f>
        <v>15930</v>
      </c>
      <c r="R25" s="109">
        <f>(0+17084+0+0)</f>
        <v>17084</v>
      </c>
      <c r="S25" s="29">
        <f>0</f>
        <v>0</v>
      </c>
      <c r="T25" s="29">
        <f>R25+S25</f>
        <v>17084</v>
      </c>
    </row>
    <row r="26" spans="1:20" ht="21" customHeight="1">
      <c r="A26" s="27" t="s">
        <v>193</v>
      </c>
      <c r="B26" s="28" t="s">
        <v>52</v>
      </c>
      <c r="C26" s="29">
        <v>362479.4</v>
      </c>
      <c r="D26" s="29">
        <f>966</f>
        <v>966</v>
      </c>
      <c r="E26" s="29">
        <f>C26</f>
        <v>362479.4</v>
      </c>
      <c r="F26" s="29">
        <f>365766.3</f>
        <v>365766.3</v>
      </c>
      <c r="G26" s="29">
        <f>960</f>
        <v>960</v>
      </c>
      <c r="H26" s="29">
        <f>F26+G26</f>
        <v>366726.3</v>
      </c>
      <c r="I26" s="29">
        <v>343157</v>
      </c>
      <c r="J26" s="29">
        <v>906.1</v>
      </c>
      <c r="K26" s="29">
        <f>I26+J26</f>
        <v>344063.1</v>
      </c>
      <c r="L26" s="107">
        <f>(14727.3+618.7+4748+732.8+354.9+6411.9+355+92161.6+237862.8+811.3+59.8+607.1+213+2575.5+212.8+224.9+48.7+1.3)</f>
        <v>362727.39999999997</v>
      </c>
      <c r="M26" s="29">
        <v>991.6</v>
      </c>
      <c r="N26" s="29">
        <f>L26+M26</f>
        <v>363718.99999999994</v>
      </c>
      <c r="O26" s="107">
        <f>(15272.2+639.4+4748+732.8+367+5880.4+326.4+95092.7+248668.9+838.8+59.8+627.8+219.9+2669.9+219.7+231.8+48.7+1.3)</f>
        <v>376645.5</v>
      </c>
      <c r="P26" s="29">
        <v>991.6</v>
      </c>
      <c r="Q26" s="29">
        <f>O26+P26</f>
        <v>377637.1</v>
      </c>
      <c r="R26" s="110">
        <f>(15837.3+659.9+4748+732.8+378.5+5366.6+298+101297.5+264973.9+865.9+60.4+648.1+226.8+2754.1+226.7+238.8+48.7+1.3)</f>
        <v>399363.3</v>
      </c>
      <c r="S26" s="29">
        <v>991.6</v>
      </c>
      <c r="T26" s="29">
        <f>R26+S26</f>
        <v>400354.89999999997</v>
      </c>
    </row>
    <row r="27" spans="1:20" ht="45.75" customHeight="1">
      <c r="A27" s="27" t="s">
        <v>194</v>
      </c>
      <c r="B27" s="33" t="s">
        <v>205</v>
      </c>
      <c r="C27" s="26">
        <f>19.7+8258.3</f>
        <v>8278</v>
      </c>
      <c r="D27" s="26">
        <f>3107</f>
        <v>3107</v>
      </c>
      <c r="E27" s="26">
        <f>E28+E29</f>
        <v>19.7</v>
      </c>
      <c r="F27" s="26">
        <f>(90.7+2600+7883.8-7883.8)+19.2+74.4</f>
        <v>2784.2999999999997</v>
      </c>
      <c r="G27" s="26">
        <f>(1192.5-8.7-154.6)</f>
        <v>1029.2</v>
      </c>
      <c r="H27" s="26">
        <f>H28+H29</f>
        <v>0</v>
      </c>
      <c r="I27" s="53">
        <v>6891</v>
      </c>
      <c r="J27" s="26">
        <f>0</f>
        <v>0</v>
      </c>
      <c r="K27" s="26">
        <f>K28+K29</f>
        <v>0</v>
      </c>
      <c r="L27" s="107">
        <f>(191)+0</f>
        <v>191</v>
      </c>
      <c r="M27" s="26">
        <f>0</f>
        <v>0</v>
      </c>
      <c r="N27" s="26">
        <f>N28+N29</f>
        <v>0</v>
      </c>
      <c r="O27" s="107">
        <f>(191)+0</f>
        <v>191</v>
      </c>
      <c r="P27" s="26">
        <f>0</f>
        <v>0</v>
      </c>
      <c r="Q27" s="26">
        <f>Q28+Q29</f>
        <v>0</v>
      </c>
      <c r="R27" s="110">
        <f>(191)+0</f>
        <v>191</v>
      </c>
      <c r="S27" s="26">
        <f>0</f>
        <v>0</v>
      </c>
      <c r="T27" s="26">
        <f>T28+T29</f>
        <v>0</v>
      </c>
    </row>
    <row r="28" spans="1:20" ht="51.75" customHeight="1">
      <c r="A28" s="27"/>
      <c r="B28" s="34" t="s">
        <v>206</v>
      </c>
      <c r="C28" s="29">
        <v>19.7</v>
      </c>
      <c r="D28" s="29">
        <f>0</f>
        <v>0</v>
      </c>
      <c r="E28" s="29">
        <v>19.7</v>
      </c>
      <c r="F28" s="29">
        <f>19.2+74.4</f>
        <v>93.60000000000001</v>
      </c>
      <c r="G28" s="29">
        <f>0</f>
        <v>0</v>
      </c>
      <c r="H28" s="29">
        <f>0</f>
        <v>0</v>
      </c>
      <c r="I28" s="99">
        <f>0</f>
        <v>0</v>
      </c>
      <c r="J28" s="99">
        <f>0</f>
        <v>0</v>
      </c>
      <c r="K28" s="29">
        <f>I28+J28</f>
        <v>0</v>
      </c>
      <c r="L28" s="99">
        <f>0</f>
        <v>0</v>
      </c>
      <c r="M28" s="99">
        <f>0</f>
        <v>0</v>
      </c>
      <c r="N28" s="29">
        <f>L28+M28</f>
        <v>0</v>
      </c>
      <c r="O28" s="99">
        <f>0</f>
        <v>0</v>
      </c>
      <c r="P28" s="99">
        <f>0</f>
        <v>0</v>
      </c>
      <c r="Q28" s="29">
        <f>O28+P28</f>
        <v>0</v>
      </c>
      <c r="R28" s="99">
        <f>0</f>
        <v>0</v>
      </c>
      <c r="S28" s="99">
        <f>0</f>
        <v>0</v>
      </c>
      <c r="T28" s="29">
        <f>R28+S28</f>
        <v>0</v>
      </c>
    </row>
    <row r="29" spans="1:20" ht="55.5" customHeight="1">
      <c r="A29" s="27"/>
      <c r="B29" s="34" t="s">
        <v>207</v>
      </c>
      <c r="C29" s="29">
        <v>8258.3</v>
      </c>
      <c r="D29" s="29">
        <f>0</f>
        <v>0</v>
      </c>
      <c r="E29" s="29"/>
      <c r="F29" s="30">
        <f>(90.7+2600+7883.8-7883.8)</f>
        <v>2690.7</v>
      </c>
      <c r="G29" s="29">
        <f>0</f>
        <v>0</v>
      </c>
      <c r="H29" s="29"/>
      <c r="I29" s="53">
        <v>6891</v>
      </c>
      <c r="J29" s="99">
        <f>0</f>
        <v>0</v>
      </c>
      <c r="K29" s="29"/>
      <c r="L29" s="99">
        <v>0</v>
      </c>
      <c r="M29" s="99">
        <f>0</f>
        <v>0</v>
      </c>
      <c r="N29" s="29"/>
      <c r="O29" s="107">
        <f>(191)+0</f>
        <v>191</v>
      </c>
      <c r="P29" s="99">
        <f>0</f>
        <v>0</v>
      </c>
      <c r="Q29" s="29"/>
      <c r="R29" s="110">
        <f>(191)+0</f>
        <v>191</v>
      </c>
      <c r="S29" s="99">
        <f>0</f>
        <v>0</v>
      </c>
      <c r="T29" s="29"/>
    </row>
    <row r="30" spans="1:20" s="1" customFormat="1" ht="24.75" customHeight="1">
      <c r="A30" s="24"/>
      <c r="B30" s="32" t="s">
        <v>54</v>
      </c>
      <c r="C30" s="26">
        <f>C6+C23</f>
        <v>610709.8</v>
      </c>
      <c r="D30" s="26">
        <f>D6+D23</f>
        <v>87421.2</v>
      </c>
      <c r="E30" s="26">
        <f>C30+D30</f>
        <v>698131</v>
      </c>
      <c r="F30" s="26">
        <f>F6+F23</f>
        <v>614679.1</v>
      </c>
      <c r="G30" s="26">
        <f>G6+G23</f>
        <v>85592.4</v>
      </c>
      <c r="H30" s="26">
        <f>F30+G30-4101.7-2690.7-1029.2</f>
        <v>692449.9000000001</v>
      </c>
      <c r="I30" s="26">
        <f>I6+I23</f>
        <v>684592.4</v>
      </c>
      <c r="J30" s="26">
        <f>J6+J23</f>
        <v>101469.29999999999</v>
      </c>
      <c r="K30" s="26">
        <f>I30+J30</f>
        <v>786061.7</v>
      </c>
      <c r="L30" s="26">
        <f>L6+L23</f>
        <v>723799.3999999999</v>
      </c>
      <c r="M30" s="26">
        <f>M6+M23</f>
        <v>104181.3</v>
      </c>
      <c r="N30" s="26">
        <f>L30+M30</f>
        <v>827980.7</v>
      </c>
      <c r="O30" s="26">
        <f>O6+O23</f>
        <v>654007</v>
      </c>
      <c r="P30" s="26">
        <f>P6+P23</f>
        <v>104846</v>
      </c>
      <c r="Q30" s="26">
        <f>O30+P30</f>
        <v>758853</v>
      </c>
      <c r="R30" s="26">
        <f>R6+R23</f>
        <v>667260.9</v>
      </c>
      <c r="S30" s="26">
        <f>S6+S23</f>
        <v>108572.8</v>
      </c>
      <c r="T30" s="26">
        <f>R30+S30</f>
        <v>775833.7000000001</v>
      </c>
    </row>
    <row r="31" spans="1:20" ht="19.5" customHeight="1">
      <c r="A31" s="35"/>
      <c r="B31" s="36" t="s">
        <v>55</v>
      </c>
      <c r="C31" s="26">
        <f>C6</f>
        <v>140527.3</v>
      </c>
      <c r="D31" s="26">
        <f>D6</f>
        <v>78498.5</v>
      </c>
      <c r="E31" s="26">
        <f>C31+D31</f>
        <v>219025.8</v>
      </c>
      <c r="F31" s="26">
        <f>F6</f>
        <v>156832.49999999997</v>
      </c>
      <c r="G31" s="26">
        <f>G6</f>
        <v>79501.5</v>
      </c>
      <c r="H31" s="26">
        <f>F31+G31</f>
        <v>236333.99999999997</v>
      </c>
      <c r="I31" s="26">
        <f>I6</f>
        <v>170110.4</v>
      </c>
      <c r="J31" s="26">
        <f>J6</f>
        <v>98087.4</v>
      </c>
      <c r="K31" s="26">
        <f>I31+J31</f>
        <v>268197.8</v>
      </c>
      <c r="L31" s="26">
        <f>L6</f>
        <v>172705.59999999998</v>
      </c>
      <c r="M31" s="26">
        <f>M6</f>
        <v>97666.1</v>
      </c>
      <c r="N31" s="26">
        <f>L31+M31</f>
        <v>270371.69999999995</v>
      </c>
      <c r="O31" s="26">
        <f>O6</f>
        <v>178920.09999999998</v>
      </c>
      <c r="P31" s="26">
        <f>P6</f>
        <v>101184.5</v>
      </c>
      <c r="Q31" s="26">
        <f>O31+P31</f>
        <v>280104.6</v>
      </c>
      <c r="R31" s="26">
        <f>R6</f>
        <v>185361.2</v>
      </c>
      <c r="S31" s="26">
        <f>S6</f>
        <v>104827.1</v>
      </c>
      <c r="T31" s="26">
        <f>R31+S31</f>
        <v>290188.30000000005</v>
      </c>
    </row>
    <row r="32" spans="1:20" ht="23.25" customHeight="1">
      <c r="A32" s="35"/>
      <c r="B32" s="33" t="s">
        <v>56</v>
      </c>
      <c r="C32" s="26">
        <f>C29</f>
        <v>8258.3</v>
      </c>
      <c r="D32" s="26">
        <f>D24+D26+D27</f>
        <v>8922.7</v>
      </c>
      <c r="E32" s="26">
        <f>C32+D32</f>
        <v>17181</v>
      </c>
      <c r="F32" s="26">
        <f>F29</f>
        <v>2690.7</v>
      </c>
      <c r="G32" s="26">
        <f>G24+G27</f>
        <v>5130.9</v>
      </c>
      <c r="H32" s="26">
        <f>F32+G32</f>
        <v>7821.599999999999</v>
      </c>
      <c r="I32" s="26">
        <f>191+6700</f>
        <v>6891</v>
      </c>
      <c r="J32" s="26">
        <f>J24+J27</f>
        <v>2475.8</v>
      </c>
      <c r="K32" s="26">
        <f>I32+J32</f>
        <v>9366.8</v>
      </c>
      <c r="L32" s="26">
        <v>191</v>
      </c>
      <c r="M32" s="26">
        <f>M24+M27</f>
        <v>2575.5</v>
      </c>
      <c r="N32" s="26">
        <f>L32+M32</f>
        <v>2766.5</v>
      </c>
      <c r="O32" s="26">
        <f>O29</f>
        <v>191</v>
      </c>
      <c r="P32" s="26">
        <f>P24+P27</f>
        <v>2669.9</v>
      </c>
      <c r="Q32" s="26">
        <f>O32+P32</f>
        <v>2860.9</v>
      </c>
      <c r="R32" s="26">
        <f>R29</f>
        <v>191</v>
      </c>
      <c r="S32" s="26">
        <f>S24+S27</f>
        <v>2754.1</v>
      </c>
      <c r="T32" s="26">
        <f>R32+S32</f>
        <v>2945.1</v>
      </c>
    </row>
    <row r="33" spans="1:20" s="1" customFormat="1" ht="45" customHeight="1">
      <c r="A33" s="4"/>
      <c r="B33" s="32" t="s">
        <v>57</v>
      </c>
      <c r="C33" s="26">
        <f>C30-C32</f>
        <v>602451.5</v>
      </c>
      <c r="D33" s="26">
        <f>D30-D32</f>
        <v>78498.5</v>
      </c>
      <c r="E33" s="26">
        <f>C33+D33</f>
        <v>680950</v>
      </c>
      <c r="F33" s="26">
        <f>F30-F32</f>
        <v>611988.4</v>
      </c>
      <c r="G33" s="26">
        <f>G30-G32</f>
        <v>80461.5</v>
      </c>
      <c r="H33" s="26">
        <f>F33+G33</f>
        <v>692449.9</v>
      </c>
      <c r="I33" s="26">
        <f>I30-I32</f>
        <v>677701.4</v>
      </c>
      <c r="J33" s="26">
        <f>J30-J32</f>
        <v>98993.49999999999</v>
      </c>
      <c r="K33" s="26">
        <f>I33+J33</f>
        <v>776694.9</v>
      </c>
      <c r="L33" s="26">
        <f>L30-L32</f>
        <v>723608.3999999999</v>
      </c>
      <c r="M33" s="26">
        <f>M30-M32</f>
        <v>101605.8</v>
      </c>
      <c r="N33" s="26">
        <f>L33+M33</f>
        <v>825214.2</v>
      </c>
      <c r="O33" s="26">
        <f>O30-O32</f>
        <v>653816</v>
      </c>
      <c r="P33" s="26">
        <f>P30-P32</f>
        <v>102176.1</v>
      </c>
      <c r="Q33" s="26">
        <f>O33+P33</f>
        <v>755992.1</v>
      </c>
      <c r="R33" s="26">
        <f>R30-R32</f>
        <v>667069.9</v>
      </c>
      <c r="S33" s="26">
        <f>S30-S32</f>
        <v>105818.7</v>
      </c>
      <c r="T33" s="26">
        <f>R33+S33</f>
        <v>772888.6</v>
      </c>
    </row>
    <row r="34" spans="3:18" ht="16.5">
      <c r="C34" s="37"/>
      <c r="F34" s="37"/>
      <c r="I34" s="37"/>
      <c r="L34" s="37"/>
      <c r="O34" s="37"/>
      <c r="R34" s="37"/>
    </row>
    <row r="35" spans="3:20" ht="16.5">
      <c r="C35" s="37"/>
      <c r="D35" s="37"/>
      <c r="E35" s="37"/>
      <c r="F35" s="37"/>
      <c r="G35" s="38"/>
      <c r="H35" s="37"/>
      <c r="I35" s="37"/>
      <c r="J35" s="38"/>
      <c r="K35" s="37"/>
      <c r="L35" s="37"/>
      <c r="M35" s="38"/>
      <c r="N35" s="37"/>
      <c r="O35" s="37"/>
      <c r="P35" s="38"/>
      <c r="Q35" s="37"/>
      <c r="R35" s="37"/>
      <c r="S35" s="38"/>
      <c r="T35" s="37"/>
    </row>
    <row r="36" spans="3:18" ht="16.5">
      <c r="C36" s="37"/>
      <c r="F36" s="37"/>
      <c r="I36" s="37"/>
      <c r="L36" s="37"/>
      <c r="O36" s="37"/>
      <c r="R36" s="37"/>
    </row>
    <row r="37" spans="3:18" ht="16.5">
      <c r="C37" s="37"/>
      <c r="F37" s="37"/>
      <c r="I37" s="37"/>
      <c r="L37" s="37"/>
      <c r="O37" s="37"/>
      <c r="R37" s="37"/>
    </row>
    <row r="38" spans="3:18" ht="16.5">
      <c r="C38" s="37"/>
      <c r="F38" s="37"/>
      <c r="I38" s="37"/>
      <c r="L38" s="37"/>
      <c r="O38" s="37"/>
      <c r="R38" s="37"/>
    </row>
    <row r="39" spans="3:18" ht="16.5">
      <c r="C39" s="37"/>
      <c r="F39" s="37"/>
      <c r="I39" s="37"/>
      <c r="L39" s="37"/>
      <c r="O39" s="37"/>
      <c r="R39" s="37"/>
    </row>
    <row r="40" spans="3:18" ht="16.5">
      <c r="C40" s="37"/>
      <c r="F40" s="37"/>
      <c r="I40" s="37"/>
      <c r="L40" s="37"/>
      <c r="O40" s="37"/>
      <c r="R40" s="37"/>
    </row>
    <row r="41" spans="3:18" ht="16.5">
      <c r="C41" s="37"/>
      <c r="F41" s="37"/>
      <c r="I41" s="37"/>
      <c r="L41" s="37"/>
      <c r="O41" s="37"/>
      <c r="R41" s="37"/>
    </row>
    <row r="42" spans="3:18" ht="16.5">
      <c r="C42" s="37"/>
      <c r="F42" s="37"/>
      <c r="I42" s="37"/>
      <c r="L42" s="37"/>
      <c r="O42" s="37"/>
      <c r="R42" s="37"/>
    </row>
    <row r="43" spans="3:18" ht="16.5">
      <c r="C43" s="37"/>
      <c r="F43" s="37"/>
      <c r="I43" s="37"/>
      <c r="L43" s="37"/>
      <c r="O43" s="37"/>
      <c r="R43" s="37"/>
    </row>
    <row r="44" spans="3:18" ht="16.5">
      <c r="C44" s="37"/>
      <c r="F44" s="37"/>
      <c r="I44" s="37"/>
      <c r="L44" s="37"/>
      <c r="O44" s="37"/>
      <c r="R44" s="37"/>
    </row>
    <row r="45" spans="3:18" ht="16.5">
      <c r="C45" s="37"/>
      <c r="F45" s="37"/>
      <c r="I45" s="37"/>
      <c r="L45" s="37"/>
      <c r="O45" s="37"/>
      <c r="R45" s="37"/>
    </row>
    <row r="46" spans="3:18" ht="16.5">
      <c r="C46" s="37"/>
      <c r="F46" s="37"/>
      <c r="I46" s="37"/>
      <c r="L46" s="37"/>
      <c r="O46" s="37"/>
      <c r="R46" s="37"/>
    </row>
    <row r="47" spans="3:18" ht="16.5">
      <c r="C47" s="37"/>
      <c r="F47" s="37"/>
      <c r="I47" s="37"/>
      <c r="L47" s="37"/>
      <c r="O47" s="37"/>
      <c r="R47" s="37"/>
    </row>
    <row r="48" spans="3:18" ht="16.5">
      <c r="C48" s="37"/>
      <c r="F48" s="37"/>
      <c r="I48" s="37"/>
      <c r="L48" s="37"/>
      <c r="O48" s="37"/>
      <c r="R48" s="37"/>
    </row>
    <row r="49" spans="3:18" ht="16.5">
      <c r="C49" s="37"/>
      <c r="F49" s="37"/>
      <c r="I49" s="37"/>
      <c r="L49" s="37"/>
      <c r="O49" s="37"/>
      <c r="R49" s="37"/>
    </row>
    <row r="50" spans="3:18" ht="16.5">
      <c r="C50" s="37"/>
      <c r="F50" s="37"/>
      <c r="I50" s="37"/>
      <c r="L50" s="37"/>
      <c r="O50" s="37"/>
      <c r="R50" s="37"/>
    </row>
    <row r="51" spans="3:18" ht="16.5">
      <c r="C51" s="37"/>
      <c r="F51" s="37"/>
      <c r="I51" s="37"/>
      <c r="L51" s="37"/>
      <c r="O51" s="37"/>
      <c r="R51" s="37"/>
    </row>
    <row r="52" spans="3:18" ht="16.5">
      <c r="C52" s="37"/>
      <c r="F52" s="37"/>
      <c r="I52" s="37"/>
      <c r="L52" s="37"/>
      <c r="O52" s="37"/>
      <c r="R52" s="37"/>
    </row>
    <row r="53" spans="3:18" ht="16.5">
      <c r="C53" s="37"/>
      <c r="F53" s="37"/>
      <c r="I53" s="37"/>
      <c r="L53" s="37"/>
      <c r="O53" s="37"/>
      <c r="R53" s="37"/>
    </row>
    <row r="54" spans="3:18" ht="16.5">
      <c r="C54" s="37"/>
      <c r="F54" s="37"/>
      <c r="I54" s="37"/>
      <c r="L54" s="37"/>
      <c r="O54" s="37"/>
      <c r="R54" s="37"/>
    </row>
    <row r="55" spans="3:18" ht="16.5">
      <c r="C55" s="37"/>
      <c r="F55" s="37"/>
      <c r="I55" s="37"/>
      <c r="L55" s="37"/>
      <c r="O55" s="37"/>
      <c r="R55" s="37"/>
    </row>
    <row r="56" spans="3:18" ht="16.5">
      <c r="C56" s="37"/>
      <c r="F56" s="37"/>
      <c r="I56" s="37"/>
      <c r="L56" s="37"/>
      <c r="O56" s="37"/>
      <c r="R56" s="37"/>
    </row>
    <row r="57" spans="3:18" ht="16.5">
      <c r="C57" s="37"/>
      <c r="F57" s="37"/>
      <c r="I57" s="37"/>
      <c r="L57" s="37"/>
      <c r="O57" s="37"/>
      <c r="R57" s="37"/>
    </row>
    <row r="58" spans="3:18" ht="16.5">
      <c r="C58" s="37"/>
      <c r="F58" s="37"/>
      <c r="I58" s="37"/>
      <c r="L58" s="37"/>
      <c r="O58" s="37"/>
      <c r="R58" s="37"/>
    </row>
    <row r="59" spans="3:18" ht="16.5">
      <c r="C59" s="37"/>
      <c r="F59" s="37"/>
      <c r="I59" s="37"/>
      <c r="L59" s="37"/>
      <c r="O59" s="37"/>
      <c r="R59" s="37"/>
    </row>
    <row r="60" spans="3:18" ht="16.5">
      <c r="C60" s="37"/>
      <c r="F60" s="37"/>
      <c r="I60" s="37"/>
      <c r="L60" s="37"/>
      <c r="O60" s="37"/>
      <c r="R60" s="37"/>
    </row>
    <row r="61" spans="3:18" ht="16.5">
      <c r="C61" s="37"/>
      <c r="F61" s="37"/>
      <c r="I61" s="37"/>
      <c r="L61" s="37"/>
      <c r="O61" s="37"/>
      <c r="R61" s="37"/>
    </row>
    <row r="62" spans="3:18" ht="16.5">
      <c r="C62" s="37"/>
      <c r="F62" s="37"/>
      <c r="I62" s="37"/>
      <c r="L62" s="37"/>
      <c r="O62" s="37"/>
      <c r="R62" s="37"/>
    </row>
    <row r="63" spans="3:18" ht="16.5">
      <c r="C63" s="37"/>
      <c r="F63" s="37"/>
      <c r="I63" s="37"/>
      <c r="L63" s="37"/>
      <c r="O63" s="37"/>
      <c r="R63" s="37"/>
    </row>
    <row r="64" spans="3:18" ht="16.5">
      <c r="C64" s="37"/>
      <c r="F64" s="37"/>
      <c r="I64" s="37"/>
      <c r="L64" s="37"/>
      <c r="O64" s="37"/>
      <c r="R64" s="37"/>
    </row>
    <row r="65" spans="3:18" ht="16.5">
      <c r="C65" s="37"/>
      <c r="F65" s="37"/>
      <c r="I65" s="37"/>
      <c r="L65" s="37"/>
      <c r="O65" s="37"/>
      <c r="R65" s="37"/>
    </row>
    <row r="66" spans="3:18" ht="16.5">
      <c r="C66" s="37"/>
      <c r="F66" s="37"/>
      <c r="I66" s="37"/>
      <c r="L66" s="37"/>
      <c r="O66" s="37"/>
      <c r="R66" s="37"/>
    </row>
    <row r="67" spans="3:18" ht="16.5">
      <c r="C67" s="37"/>
      <c r="F67" s="37"/>
      <c r="I67" s="37"/>
      <c r="L67" s="37"/>
      <c r="O67" s="37"/>
      <c r="R67" s="37"/>
    </row>
    <row r="68" spans="3:18" ht="16.5">
      <c r="C68" s="37"/>
      <c r="F68" s="37"/>
      <c r="I68" s="37"/>
      <c r="L68" s="37"/>
      <c r="O68" s="37"/>
      <c r="R68" s="37"/>
    </row>
    <row r="69" spans="3:18" ht="16.5">
      <c r="C69" s="37"/>
      <c r="F69" s="37"/>
      <c r="I69" s="37"/>
      <c r="L69" s="37"/>
      <c r="O69" s="37"/>
      <c r="R69" s="37"/>
    </row>
    <row r="70" spans="3:18" ht="16.5">
      <c r="C70" s="37"/>
      <c r="F70" s="37"/>
      <c r="I70" s="37"/>
      <c r="L70" s="37"/>
      <c r="O70" s="37"/>
      <c r="R70" s="37"/>
    </row>
    <row r="71" spans="3:18" ht="16.5">
      <c r="C71" s="37"/>
      <c r="F71" s="37"/>
      <c r="I71" s="37"/>
      <c r="L71" s="37"/>
      <c r="O71" s="37"/>
      <c r="R71" s="37"/>
    </row>
    <row r="72" spans="3:18" ht="16.5">
      <c r="C72" s="37"/>
      <c r="F72" s="37"/>
      <c r="I72" s="37"/>
      <c r="L72" s="37"/>
      <c r="O72" s="37"/>
      <c r="R72" s="37"/>
    </row>
    <row r="73" spans="3:18" ht="16.5">
      <c r="C73" s="37"/>
      <c r="F73" s="37"/>
      <c r="I73" s="37"/>
      <c r="L73" s="37"/>
      <c r="O73" s="37"/>
      <c r="R73" s="37"/>
    </row>
    <row r="74" spans="3:18" ht="16.5">
      <c r="C74" s="37"/>
      <c r="F74" s="37"/>
      <c r="I74" s="37"/>
      <c r="L74" s="37"/>
      <c r="O74" s="37"/>
      <c r="R74" s="37"/>
    </row>
    <row r="75" spans="3:18" ht="16.5">
      <c r="C75" s="37"/>
      <c r="F75" s="37"/>
      <c r="I75" s="37"/>
      <c r="L75" s="37"/>
      <c r="O75" s="37"/>
      <c r="R75" s="37"/>
    </row>
    <row r="76" spans="3:18" ht="16.5">
      <c r="C76" s="37"/>
      <c r="F76" s="37"/>
      <c r="I76" s="37"/>
      <c r="L76" s="37"/>
      <c r="O76" s="37"/>
      <c r="R76" s="37"/>
    </row>
    <row r="77" spans="3:18" ht="16.5">
      <c r="C77" s="37"/>
      <c r="F77" s="37"/>
      <c r="I77" s="37"/>
      <c r="L77" s="37"/>
      <c r="O77" s="37"/>
      <c r="R77" s="37"/>
    </row>
    <row r="78" spans="3:18" ht="16.5">
      <c r="C78" s="37"/>
      <c r="F78" s="37"/>
      <c r="I78" s="37"/>
      <c r="L78" s="37"/>
      <c r="O78" s="37"/>
      <c r="R78" s="37"/>
    </row>
    <row r="79" spans="3:18" ht="16.5">
      <c r="C79" s="37"/>
      <c r="F79" s="37"/>
      <c r="I79" s="37"/>
      <c r="L79" s="37"/>
      <c r="O79" s="37"/>
      <c r="R79" s="37"/>
    </row>
    <row r="80" spans="3:18" ht="16.5">
      <c r="C80" s="37"/>
      <c r="F80" s="37"/>
      <c r="I80" s="37"/>
      <c r="L80" s="37"/>
      <c r="O80" s="37"/>
      <c r="R80" s="37"/>
    </row>
    <row r="81" spans="3:18" ht="16.5">
      <c r="C81" s="37"/>
      <c r="F81" s="37"/>
      <c r="I81" s="37"/>
      <c r="L81" s="37"/>
      <c r="O81" s="37"/>
      <c r="R81" s="37"/>
    </row>
    <row r="82" spans="3:18" ht="16.5">
      <c r="C82" s="37"/>
      <c r="F82" s="37"/>
      <c r="I82" s="37"/>
      <c r="L82" s="37"/>
      <c r="O82" s="37"/>
      <c r="R82" s="37"/>
    </row>
    <row r="83" spans="3:18" ht="16.5">
      <c r="C83" s="37"/>
      <c r="F83" s="37"/>
      <c r="I83" s="37"/>
      <c r="L83" s="37"/>
      <c r="O83" s="37"/>
      <c r="R83" s="37"/>
    </row>
    <row r="84" spans="3:18" ht="16.5">
      <c r="C84" s="37"/>
      <c r="F84" s="37"/>
      <c r="I84" s="37"/>
      <c r="L84" s="37"/>
      <c r="O84" s="37"/>
      <c r="R84" s="37"/>
    </row>
    <row r="85" spans="3:18" ht="16.5">
      <c r="C85" s="37"/>
      <c r="F85" s="37"/>
      <c r="I85" s="37"/>
      <c r="L85" s="37"/>
      <c r="O85" s="37"/>
      <c r="R85" s="37"/>
    </row>
    <row r="86" spans="3:18" ht="16.5">
      <c r="C86" s="37"/>
      <c r="F86" s="37"/>
      <c r="I86" s="37"/>
      <c r="L86" s="37"/>
      <c r="O86" s="37"/>
      <c r="R86" s="37"/>
    </row>
    <row r="87" spans="3:18" ht="16.5">
      <c r="C87" s="37"/>
      <c r="F87" s="37"/>
      <c r="I87" s="37"/>
      <c r="L87" s="37"/>
      <c r="O87" s="37"/>
      <c r="R87" s="37"/>
    </row>
    <row r="88" spans="3:18" ht="16.5">
      <c r="C88" s="37"/>
      <c r="F88" s="37"/>
      <c r="I88" s="37"/>
      <c r="L88" s="37"/>
      <c r="O88" s="37"/>
      <c r="R88" s="37"/>
    </row>
    <row r="89" spans="3:18" ht="16.5">
      <c r="C89" s="37"/>
      <c r="F89" s="37"/>
      <c r="I89" s="37"/>
      <c r="L89" s="37"/>
      <c r="O89" s="37"/>
      <c r="R89" s="37"/>
    </row>
    <row r="90" spans="3:18" ht="16.5">
      <c r="C90" s="37"/>
      <c r="F90" s="37"/>
      <c r="I90" s="37"/>
      <c r="L90" s="37"/>
      <c r="O90" s="37"/>
      <c r="R90" s="37"/>
    </row>
    <row r="91" spans="3:18" ht="16.5">
      <c r="C91" s="37"/>
      <c r="F91" s="37"/>
      <c r="I91" s="37"/>
      <c r="L91" s="37"/>
      <c r="O91" s="37"/>
      <c r="R91" s="37"/>
    </row>
    <row r="92" spans="3:18" ht="16.5">
      <c r="C92" s="37"/>
      <c r="F92" s="37"/>
      <c r="I92" s="37"/>
      <c r="L92" s="37"/>
      <c r="O92" s="37"/>
      <c r="R92" s="37"/>
    </row>
    <row r="93" spans="3:18" ht="16.5">
      <c r="C93" s="37"/>
      <c r="F93" s="37"/>
      <c r="I93" s="37"/>
      <c r="L93" s="37"/>
      <c r="O93" s="37"/>
      <c r="R93" s="37"/>
    </row>
    <row r="94" spans="3:18" ht="16.5">
      <c r="C94" s="37"/>
      <c r="F94" s="37"/>
      <c r="I94" s="37"/>
      <c r="L94" s="37"/>
      <c r="O94" s="37"/>
      <c r="R94" s="37"/>
    </row>
    <row r="95" spans="3:18" ht="16.5">
      <c r="C95" s="37"/>
      <c r="F95" s="37"/>
      <c r="I95" s="37"/>
      <c r="L95" s="37"/>
      <c r="O95" s="37"/>
      <c r="R95" s="37"/>
    </row>
    <row r="96" spans="3:18" ht="16.5">
      <c r="C96" s="37"/>
      <c r="F96" s="37"/>
      <c r="I96" s="37"/>
      <c r="L96" s="37"/>
      <c r="O96" s="37"/>
      <c r="R96" s="37"/>
    </row>
    <row r="97" spans="3:18" ht="16.5">
      <c r="C97" s="37"/>
      <c r="F97" s="37"/>
      <c r="I97" s="37"/>
      <c r="L97" s="37"/>
      <c r="O97" s="37"/>
      <c r="R97" s="37"/>
    </row>
    <row r="98" spans="3:18" ht="16.5">
      <c r="C98" s="37"/>
      <c r="F98" s="37"/>
      <c r="I98" s="37"/>
      <c r="L98" s="37"/>
      <c r="O98" s="37"/>
      <c r="R98" s="37"/>
    </row>
    <row r="99" spans="3:18" ht="16.5">
      <c r="C99" s="37"/>
      <c r="F99" s="37"/>
      <c r="I99" s="37"/>
      <c r="L99" s="37"/>
      <c r="O99" s="37"/>
      <c r="R99" s="37"/>
    </row>
    <row r="100" spans="3:18" ht="16.5">
      <c r="C100" s="37"/>
      <c r="F100" s="37"/>
      <c r="I100" s="37"/>
      <c r="L100" s="37"/>
      <c r="O100" s="37"/>
      <c r="R100" s="37"/>
    </row>
    <row r="101" spans="3:18" ht="16.5">
      <c r="C101" s="37"/>
      <c r="F101" s="37"/>
      <c r="I101" s="37"/>
      <c r="L101" s="37"/>
      <c r="O101" s="37"/>
      <c r="R101" s="37"/>
    </row>
    <row r="102" spans="3:18" ht="16.5">
      <c r="C102" s="37"/>
      <c r="F102" s="37"/>
      <c r="I102" s="37"/>
      <c r="L102" s="37"/>
      <c r="O102" s="37"/>
      <c r="R102" s="37"/>
    </row>
    <row r="103" spans="3:18" ht="16.5">
      <c r="C103" s="37"/>
      <c r="F103" s="37"/>
      <c r="I103" s="37"/>
      <c r="L103" s="37"/>
      <c r="O103" s="37"/>
      <c r="R103" s="37"/>
    </row>
    <row r="104" spans="3:18" ht="16.5">
      <c r="C104" s="37"/>
      <c r="F104" s="37"/>
      <c r="I104" s="37"/>
      <c r="L104" s="37"/>
      <c r="O104" s="37"/>
      <c r="R104" s="37"/>
    </row>
    <row r="105" spans="3:18" ht="16.5">
      <c r="C105" s="37"/>
      <c r="F105" s="37"/>
      <c r="I105" s="37"/>
      <c r="L105" s="37"/>
      <c r="O105" s="37"/>
      <c r="R105" s="37"/>
    </row>
    <row r="106" spans="3:18" ht="16.5">
      <c r="C106" s="37"/>
      <c r="F106" s="37"/>
      <c r="I106" s="37"/>
      <c r="L106" s="37"/>
      <c r="O106" s="37"/>
      <c r="R106" s="37"/>
    </row>
    <row r="107" spans="3:18" ht="16.5">
      <c r="C107" s="37"/>
      <c r="F107" s="37"/>
      <c r="I107" s="37"/>
      <c r="L107" s="37"/>
      <c r="O107" s="37"/>
      <c r="R107" s="37"/>
    </row>
    <row r="108" spans="3:18" ht="16.5">
      <c r="C108" s="37"/>
      <c r="F108" s="37"/>
      <c r="I108" s="37"/>
      <c r="L108" s="37"/>
      <c r="O108" s="37"/>
      <c r="R108" s="37"/>
    </row>
    <row r="109" spans="3:18" ht="16.5">
      <c r="C109" s="37"/>
      <c r="F109" s="37"/>
      <c r="I109" s="37"/>
      <c r="L109" s="37"/>
      <c r="O109" s="37"/>
      <c r="R109" s="37"/>
    </row>
    <row r="110" spans="3:18" ht="16.5">
      <c r="C110" s="37"/>
      <c r="F110" s="37"/>
      <c r="I110" s="37"/>
      <c r="L110" s="37"/>
      <c r="O110" s="37"/>
      <c r="R110" s="37"/>
    </row>
    <row r="111" spans="3:18" ht="16.5">
      <c r="C111" s="37"/>
      <c r="F111" s="37"/>
      <c r="I111" s="37"/>
      <c r="L111" s="37"/>
      <c r="O111" s="37"/>
      <c r="R111" s="37"/>
    </row>
    <row r="112" spans="3:18" ht="16.5">
      <c r="C112" s="37"/>
      <c r="F112" s="37"/>
      <c r="I112" s="37"/>
      <c r="L112" s="37"/>
      <c r="O112" s="37"/>
      <c r="R112" s="37"/>
    </row>
    <row r="113" spans="3:18" ht="16.5">
      <c r="C113" s="37"/>
      <c r="F113" s="37"/>
      <c r="I113" s="37"/>
      <c r="L113" s="37"/>
      <c r="O113" s="37"/>
      <c r="R113" s="37"/>
    </row>
    <row r="114" spans="3:18" ht="16.5">
      <c r="C114" s="37"/>
      <c r="F114" s="37"/>
      <c r="I114" s="37"/>
      <c r="L114" s="37"/>
      <c r="O114" s="37"/>
      <c r="R114" s="37"/>
    </row>
    <row r="115" spans="3:18" ht="16.5">
      <c r="C115" s="37"/>
      <c r="F115" s="37"/>
      <c r="I115" s="37"/>
      <c r="L115" s="37"/>
      <c r="O115" s="37"/>
      <c r="R115" s="37"/>
    </row>
    <row r="116" spans="3:18" ht="16.5">
      <c r="C116" s="37"/>
      <c r="F116" s="37"/>
      <c r="I116" s="37"/>
      <c r="L116" s="37"/>
      <c r="O116" s="37"/>
      <c r="R116" s="37"/>
    </row>
    <row r="117" spans="3:18" ht="16.5">
      <c r="C117" s="37"/>
      <c r="F117" s="37"/>
      <c r="I117" s="37"/>
      <c r="L117" s="37"/>
      <c r="O117" s="37"/>
      <c r="R117" s="37"/>
    </row>
    <row r="118" spans="3:18" ht="16.5">
      <c r="C118" s="37"/>
      <c r="F118" s="37"/>
      <c r="I118" s="37"/>
      <c r="L118" s="37"/>
      <c r="O118" s="37"/>
      <c r="R118" s="37"/>
    </row>
    <row r="119" spans="3:18" ht="16.5">
      <c r="C119" s="37"/>
      <c r="F119" s="37"/>
      <c r="I119" s="37"/>
      <c r="L119" s="37"/>
      <c r="O119" s="37"/>
      <c r="R119" s="37"/>
    </row>
    <row r="120" spans="3:18" ht="16.5">
      <c r="C120" s="37"/>
      <c r="F120" s="37"/>
      <c r="I120" s="37"/>
      <c r="L120" s="37"/>
      <c r="O120" s="37"/>
      <c r="R120" s="37"/>
    </row>
    <row r="121" spans="3:18" ht="16.5">
      <c r="C121" s="37"/>
      <c r="F121" s="37"/>
      <c r="I121" s="37"/>
      <c r="L121" s="37"/>
      <c r="O121" s="37"/>
      <c r="R121" s="37"/>
    </row>
    <row r="122" spans="3:18" ht="16.5">
      <c r="C122" s="37"/>
      <c r="F122" s="37"/>
      <c r="I122" s="37"/>
      <c r="L122" s="37"/>
      <c r="O122" s="37"/>
      <c r="R122" s="37"/>
    </row>
    <row r="123" spans="3:18" ht="16.5">
      <c r="C123" s="37"/>
      <c r="F123" s="37"/>
      <c r="I123" s="37"/>
      <c r="L123" s="37"/>
      <c r="O123" s="37"/>
      <c r="R123" s="37"/>
    </row>
    <row r="124" spans="3:18" ht="16.5">
      <c r="C124" s="37"/>
      <c r="F124" s="37"/>
      <c r="I124" s="37"/>
      <c r="L124" s="37"/>
      <c r="O124" s="37"/>
      <c r="R124" s="37"/>
    </row>
    <row r="125" spans="3:18" ht="16.5">
      <c r="C125" s="37"/>
      <c r="F125" s="37"/>
      <c r="I125" s="37"/>
      <c r="L125" s="37"/>
      <c r="O125" s="37"/>
      <c r="R125" s="37"/>
    </row>
    <row r="126" spans="3:18" ht="16.5">
      <c r="C126" s="37"/>
      <c r="F126" s="37"/>
      <c r="I126" s="37"/>
      <c r="L126" s="37"/>
      <c r="O126" s="37"/>
      <c r="R126" s="37"/>
    </row>
    <row r="127" spans="3:18" ht="16.5">
      <c r="C127" s="37"/>
      <c r="F127" s="37"/>
      <c r="I127" s="37"/>
      <c r="L127" s="37"/>
      <c r="O127" s="37"/>
      <c r="R127" s="37"/>
    </row>
    <row r="128" spans="3:18" ht="16.5">
      <c r="C128" s="37"/>
      <c r="F128" s="37"/>
      <c r="I128" s="37"/>
      <c r="L128" s="37"/>
      <c r="O128" s="37"/>
      <c r="R128" s="37"/>
    </row>
    <row r="129" spans="3:18" ht="16.5">
      <c r="C129" s="37"/>
      <c r="F129" s="37"/>
      <c r="I129" s="37"/>
      <c r="L129" s="37"/>
      <c r="O129" s="37"/>
      <c r="R129" s="37"/>
    </row>
    <row r="130" spans="3:18" ht="16.5">
      <c r="C130" s="37"/>
      <c r="F130" s="37"/>
      <c r="I130" s="37"/>
      <c r="L130" s="37"/>
      <c r="O130" s="37"/>
      <c r="R130" s="37"/>
    </row>
    <row r="131" spans="3:18" ht="16.5">
      <c r="C131" s="37"/>
      <c r="F131" s="37"/>
      <c r="I131" s="37"/>
      <c r="L131" s="37"/>
      <c r="O131" s="37"/>
      <c r="R131" s="37"/>
    </row>
    <row r="132" spans="3:18" ht="16.5">
      <c r="C132" s="37"/>
      <c r="F132" s="37"/>
      <c r="I132" s="37"/>
      <c r="L132" s="37"/>
      <c r="O132" s="37"/>
      <c r="R132" s="37"/>
    </row>
    <row r="133" spans="3:18" ht="16.5">
      <c r="C133" s="37"/>
      <c r="F133" s="37"/>
      <c r="I133" s="37"/>
      <c r="L133" s="37"/>
      <c r="O133" s="37"/>
      <c r="R133" s="37"/>
    </row>
    <row r="134" spans="3:18" ht="16.5">
      <c r="C134" s="37"/>
      <c r="F134" s="37"/>
      <c r="I134" s="37"/>
      <c r="L134" s="37"/>
      <c r="O134" s="37"/>
      <c r="R134" s="37"/>
    </row>
    <row r="135" spans="3:18" ht="16.5">
      <c r="C135" s="37"/>
      <c r="F135" s="37"/>
      <c r="I135" s="37"/>
      <c r="L135" s="37"/>
      <c r="O135" s="37"/>
      <c r="R135" s="37"/>
    </row>
    <row r="136" spans="3:18" ht="16.5">
      <c r="C136" s="37"/>
      <c r="F136" s="37"/>
      <c r="I136" s="37"/>
      <c r="L136" s="37"/>
      <c r="O136" s="37"/>
      <c r="R136" s="37"/>
    </row>
    <row r="137" spans="3:18" ht="16.5">
      <c r="C137" s="37"/>
      <c r="F137" s="37"/>
      <c r="I137" s="37"/>
      <c r="L137" s="37"/>
      <c r="O137" s="37"/>
      <c r="R137" s="37"/>
    </row>
    <row r="138" spans="3:18" ht="16.5">
      <c r="C138" s="37"/>
      <c r="F138" s="37"/>
      <c r="I138" s="37"/>
      <c r="L138" s="37"/>
      <c r="O138" s="37"/>
      <c r="R138" s="37"/>
    </row>
    <row r="139" spans="3:18" ht="16.5">
      <c r="C139" s="37"/>
      <c r="F139" s="37"/>
      <c r="I139" s="37"/>
      <c r="L139" s="37"/>
      <c r="O139" s="37"/>
      <c r="R139" s="37"/>
    </row>
    <row r="140" spans="3:18" ht="16.5">
      <c r="C140" s="37"/>
      <c r="F140" s="37"/>
      <c r="I140" s="37"/>
      <c r="L140" s="37"/>
      <c r="O140" s="37"/>
      <c r="R140" s="37"/>
    </row>
    <row r="141" spans="3:18" ht="16.5">
      <c r="C141" s="37"/>
      <c r="F141" s="37"/>
      <c r="I141" s="37"/>
      <c r="L141" s="37"/>
      <c r="O141" s="37"/>
      <c r="R141" s="37"/>
    </row>
    <row r="142" spans="3:18" ht="16.5">
      <c r="C142" s="37"/>
      <c r="F142" s="37"/>
      <c r="I142" s="37"/>
      <c r="L142" s="37"/>
      <c r="O142" s="37"/>
      <c r="R142" s="37"/>
    </row>
    <row r="143" spans="3:18" ht="16.5">
      <c r="C143" s="37"/>
      <c r="F143" s="37"/>
      <c r="I143" s="37"/>
      <c r="L143" s="37"/>
      <c r="O143" s="37"/>
      <c r="R143" s="37"/>
    </row>
    <row r="144" spans="3:18" ht="16.5">
      <c r="C144" s="37"/>
      <c r="F144" s="37"/>
      <c r="I144" s="37"/>
      <c r="L144" s="37"/>
      <c r="O144" s="37"/>
      <c r="R144" s="37"/>
    </row>
    <row r="145" spans="3:18" ht="16.5">
      <c r="C145" s="37"/>
      <c r="F145" s="37"/>
      <c r="I145" s="37"/>
      <c r="L145" s="37"/>
      <c r="O145" s="37"/>
      <c r="R145" s="37"/>
    </row>
    <row r="146" spans="3:18" ht="16.5">
      <c r="C146" s="37"/>
      <c r="F146" s="37"/>
      <c r="I146" s="37"/>
      <c r="L146" s="37"/>
      <c r="O146" s="37"/>
      <c r="R146" s="37"/>
    </row>
    <row r="147" spans="3:18" ht="16.5">
      <c r="C147" s="37"/>
      <c r="F147" s="37"/>
      <c r="I147" s="37"/>
      <c r="L147" s="37"/>
      <c r="O147" s="37"/>
      <c r="R147" s="37"/>
    </row>
    <row r="148" spans="3:18" ht="16.5">
      <c r="C148" s="37"/>
      <c r="F148" s="37"/>
      <c r="I148" s="37"/>
      <c r="L148" s="37"/>
      <c r="O148" s="37"/>
      <c r="R148" s="37"/>
    </row>
    <row r="149" spans="3:18" ht="16.5">
      <c r="C149" s="37"/>
      <c r="F149" s="37"/>
      <c r="I149" s="37"/>
      <c r="L149" s="37"/>
      <c r="O149" s="37"/>
      <c r="R149" s="37"/>
    </row>
    <row r="150" spans="3:18" ht="16.5">
      <c r="C150" s="37"/>
      <c r="F150" s="37"/>
      <c r="I150" s="37"/>
      <c r="L150" s="37"/>
      <c r="O150" s="37"/>
      <c r="R150" s="37"/>
    </row>
    <row r="151" spans="3:18" ht="16.5">
      <c r="C151" s="37"/>
      <c r="F151" s="37"/>
      <c r="I151" s="37"/>
      <c r="L151" s="37"/>
      <c r="O151" s="37"/>
      <c r="R151" s="37"/>
    </row>
    <row r="152" spans="3:18" ht="16.5">
      <c r="C152" s="37"/>
      <c r="F152" s="37"/>
      <c r="I152" s="37"/>
      <c r="L152" s="37"/>
      <c r="O152" s="37"/>
      <c r="R152" s="37"/>
    </row>
    <row r="153" spans="3:18" ht="16.5">
      <c r="C153" s="37"/>
      <c r="F153" s="37"/>
      <c r="I153" s="37"/>
      <c r="L153" s="37"/>
      <c r="O153" s="37"/>
      <c r="R153" s="37"/>
    </row>
    <row r="154" spans="3:18" ht="16.5">
      <c r="C154" s="37"/>
      <c r="F154" s="37"/>
      <c r="I154" s="37"/>
      <c r="L154" s="37"/>
      <c r="O154" s="37"/>
      <c r="R154" s="37"/>
    </row>
    <row r="155" spans="3:18" ht="16.5">
      <c r="C155" s="37"/>
      <c r="F155" s="37"/>
      <c r="I155" s="37"/>
      <c r="L155" s="37"/>
      <c r="O155" s="37"/>
      <c r="R155" s="37"/>
    </row>
    <row r="156" spans="3:18" ht="16.5">
      <c r="C156" s="37"/>
      <c r="F156" s="37"/>
      <c r="I156" s="37"/>
      <c r="L156" s="37"/>
      <c r="O156" s="37"/>
      <c r="R156" s="37"/>
    </row>
    <row r="157" spans="3:18" ht="16.5">
      <c r="C157" s="37"/>
      <c r="F157" s="37"/>
      <c r="I157" s="37"/>
      <c r="L157" s="37"/>
      <c r="O157" s="37"/>
      <c r="R157" s="37"/>
    </row>
    <row r="158" spans="3:18" ht="16.5">
      <c r="C158" s="37"/>
      <c r="F158" s="37"/>
      <c r="I158" s="37"/>
      <c r="L158" s="37"/>
      <c r="O158" s="37"/>
      <c r="R158" s="37"/>
    </row>
    <row r="159" spans="3:18" ht="16.5">
      <c r="C159" s="37"/>
      <c r="F159" s="37"/>
      <c r="I159" s="37"/>
      <c r="L159" s="37"/>
      <c r="O159" s="37"/>
      <c r="R159" s="37"/>
    </row>
    <row r="160" spans="3:18" ht="16.5">
      <c r="C160" s="37"/>
      <c r="F160" s="37"/>
      <c r="I160" s="37"/>
      <c r="L160" s="37"/>
      <c r="O160" s="37"/>
      <c r="R160" s="37"/>
    </row>
    <row r="161" spans="3:18" ht="16.5">
      <c r="C161" s="37"/>
      <c r="F161" s="37"/>
      <c r="I161" s="37"/>
      <c r="L161" s="37"/>
      <c r="O161" s="37"/>
      <c r="R161" s="37"/>
    </row>
    <row r="162" spans="3:18" ht="16.5">
      <c r="C162" s="37"/>
      <c r="F162" s="37"/>
      <c r="I162" s="37"/>
      <c r="L162" s="37"/>
      <c r="O162" s="37"/>
      <c r="R162" s="37"/>
    </row>
    <row r="163" spans="3:18" ht="16.5">
      <c r="C163" s="37"/>
      <c r="F163" s="37"/>
      <c r="I163" s="37"/>
      <c r="L163" s="37"/>
      <c r="O163" s="37"/>
      <c r="R163" s="37"/>
    </row>
    <row r="164" spans="3:18" ht="16.5">
      <c r="C164" s="37"/>
      <c r="F164" s="37"/>
      <c r="I164" s="37"/>
      <c r="L164" s="37"/>
      <c r="O164" s="37"/>
      <c r="R164" s="37"/>
    </row>
    <row r="165" spans="3:18" ht="16.5">
      <c r="C165" s="37"/>
      <c r="F165" s="37"/>
      <c r="I165" s="37"/>
      <c r="L165" s="37"/>
      <c r="O165" s="37"/>
      <c r="R165" s="37"/>
    </row>
    <row r="166" spans="3:18" ht="16.5">
      <c r="C166" s="37"/>
      <c r="F166" s="37"/>
      <c r="I166" s="37"/>
      <c r="L166" s="37"/>
      <c r="O166" s="37"/>
      <c r="R166" s="37"/>
    </row>
    <row r="167" spans="3:18" ht="16.5">
      <c r="C167" s="37"/>
      <c r="F167" s="37"/>
      <c r="I167" s="37"/>
      <c r="L167" s="37"/>
      <c r="O167" s="37"/>
      <c r="R167" s="37"/>
    </row>
    <row r="168" spans="3:18" ht="16.5">
      <c r="C168" s="37"/>
      <c r="F168" s="37"/>
      <c r="I168" s="37"/>
      <c r="L168" s="37"/>
      <c r="O168" s="37"/>
      <c r="R168" s="37"/>
    </row>
    <row r="169" spans="3:18" ht="16.5">
      <c r="C169" s="37"/>
      <c r="F169" s="37"/>
      <c r="I169" s="37"/>
      <c r="L169" s="37"/>
      <c r="O169" s="37"/>
      <c r="R169" s="37"/>
    </row>
    <row r="170" spans="3:18" ht="16.5">
      <c r="C170" s="37"/>
      <c r="F170" s="37"/>
      <c r="I170" s="37"/>
      <c r="L170" s="37"/>
      <c r="O170" s="37"/>
      <c r="R170" s="37"/>
    </row>
    <row r="171" spans="3:18" ht="16.5">
      <c r="C171" s="37"/>
      <c r="F171" s="37"/>
      <c r="I171" s="37"/>
      <c r="L171" s="37"/>
      <c r="O171" s="37"/>
      <c r="R171" s="37"/>
    </row>
    <row r="172" spans="3:18" ht="16.5">
      <c r="C172" s="37"/>
      <c r="F172" s="37"/>
      <c r="I172" s="37"/>
      <c r="L172" s="37"/>
      <c r="O172" s="37"/>
      <c r="R172" s="37"/>
    </row>
    <row r="173" spans="3:18" ht="16.5">
      <c r="C173" s="37"/>
      <c r="F173" s="37"/>
      <c r="I173" s="37"/>
      <c r="L173" s="37"/>
      <c r="O173" s="37"/>
      <c r="R173" s="37"/>
    </row>
    <row r="174" spans="3:18" ht="16.5">
      <c r="C174" s="37"/>
      <c r="F174" s="37"/>
      <c r="I174" s="37"/>
      <c r="L174" s="37"/>
      <c r="O174" s="37"/>
      <c r="R174" s="37"/>
    </row>
    <row r="175" spans="3:18" ht="16.5">
      <c r="C175" s="37"/>
      <c r="F175" s="37"/>
      <c r="I175" s="37"/>
      <c r="L175" s="37"/>
      <c r="O175" s="37"/>
      <c r="R175" s="37"/>
    </row>
    <row r="176" spans="3:18" ht="16.5">
      <c r="C176" s="37"/>
      <c r="F176" s="37"/>
      <c r="I176" s="37"/>
      <c r="L176" s="37"/>
      <c r="O176" s="37"/>
      <c r="R176" s="37"/>
    </row>
    <row r="177" spans="3:18" ht="16.5">
      <c r="C177" s="37"/>
      <c r="F177" s="37"/>
      <c r="I177" s="37"/>
      <c r="L177" s="37"/>
      <c r="O177" s="37"/>
      <c r="R177" s="37"/>
    </row>
    <row r="178" spans="3:18" ht="16.5">
      <c r="C178" s="37"/>
      <c r="F178" s="37"/>
      <c r="I178" s="37"/>
      <c r="L178" s="37"/>
      <c r="O178" s="37"/>
      <c r="R178" s="37"/>
    </row>
    <row r="179" spans="3:18" ht="16.5">
      <c r="C179" s="37"/>
      <c r="F179" s="37"/>
      <c r="I179" s="37"/>
      <c r="L179" s="37"/>
      <c r="O179" s="37"/>
      <c r="R179" s="37"/>
    </row>
    <row r="180" spans="3:18" ht="16.5">
      <c r="C180" s="37"/>
      <c r="F180" s="37"/>
      <c r="I180" s="37"/>
      <c r="L180" s="37"/>
      <c r="O180" s="37"/>
      <c r="R180" s="37"/>
    </row>
    <row r="181" spans="3:18" ht="16.5">
      <c r="C181" s="37"/>
      <c r="F181" s="37"/>
      <c r="I181" s="37"/>
      <c r="L181" s="37"/>
      <c r="O181" s="37"/>
      <c r="R181" s="37"/>
    </row>
    <row r="182" spans="3:18" ht="16.5">
      <c r="C182" s="37"/>
      <c r="F182" s="37"/>
      <c r="I182" s="37"/>
      <c r="L182" s="37"/>
      <c r="O182" s="37"/>
      <c r="R182" s="37"/>
    </row>
    <row r="183" spans="3:18" ht="16.5">
      <c r="C183" s="37"/>
      <c r="F183" s="37"/>
      <c r="I183" s="37"/>
      <c r="L183" s="37"/>
      <c r="O183" s="37"/>
      <c r="R183" s="37"/>
    </row>
    <row r="184" spans="3:18" ht="16.5">
      <c r="C184" s="37"/>
      <c r="F184" s="37"/>
      <c r="I184" s="37"/>
      <c r="L184" s="37"/>
      <c r="O184" s="37"/>
      <c r="R184" s="37"/>
    </row>
    <row r="185" spans="3:18" ht="16.5">
      <c r="C185" s="37"/>
      <c r="F185" s="37"/>
      <c r="I185" s="37"/>
      <c r="L185" s="37"/>
      <c r="O185" s="37"/>
      <c r="R185" s="37"/>
    </row>
    <row r="186" spans="3:18" ht="16.5">
      <c r="C186" s="37"/>
      <c r="F186" s="37"/>
      <c r="I186" s="37"/>
      <c r="L186" s="37"/>
      <c r="O186" s="37"/>
      <c r="R186" s="37"/>
    </row>
    <row r="187" spans="3:18" ht="16.5">
      <c r="C187" s="37"/>
      <c r="F187" s="37"/>
      <c r="I187" s="37"/>
      <c r="L187" s="37"/>
      <c r="O187" s="37"/>
      <c r="R187" s="37"/>
    </row>
    <row r="188" spans="3:18" ht="16.5">
      <c r="C188" s="37"/>
      <c r="F188" s="37"/>
      <c r="I188" s="37"/>
      <c r="L188" s="37"/>
      <c r="O188" s="37"/>
      <c r="R188" s="37"/>
    </row>
    <row r="189" spans="3:18" ht="16.5">
      <c r="C189" s="37"/>
      <c r="F189" s="37"/>
      <c r="I189" s="37"/>
      <c r="L189" s="37"/>
      <c r="O189" s="37"/>
      <c r="R189" s="37"/>
    </row>
    <row r="190" spans="3:18" ht="16.5">
      <c r="C190" s="37"/>
      <c r="F190" s="37"/>
      <c r="I190" s="37"/>
      <c r="L190" s="37"/>
      <c r="O190" s="37"/>
      <c r="R190" s="37"/>
    </row>
    <row r="191" spans="3:18" ht="16.5">
      <c r="C191" s="37"/>
      <c r="F191" s="37"/>
      <c r="I191" s="37"/>
      <c r="L191" s="37"/>
      <c r="O191" s="37"/>
      <c r="R191" s="37"/>
    </row>
    <row r="192" spans="3:18" ht="16.5">
      <c r="C192" s="37"/>
      <c r="F192" s="37"/>
      <c r="I192" s="37"/>
      <c r="L192" s="37"/>
      <c r="O192" s="37"/>
      <c r="R192" s="37"/>
    </row>
    <row r="193" spans="3:18" ht="16.5">
      <c r="C193" s="37"/>
      <c r="F193" s="37"/>
      <c r="I193" s="37"/>
      <c r="L193" s="37"/>
      <c r="O193" s="37"/>
      <c r="R193" s="37"/>
    </row>
    <row r="194" spans="3:18" ht="16.5">
      <c r="C194" s="37"/>
      <c r="F194" s="37"/>
      <c r="I194" s="37"/>
      <c r="L194" s="37"/>
      <c r="O194" s="37"/>
      <c r="R194" s="37"/>
    </row>
    <row r="195" spans="3:18" ht="16.5">
      <c r="C195" s="37"/>
      <c r="F195" s="37"/>
      <c r="I195" s="37"/>
      <c r="L195" s="37"/>
      <c r="O195" s="37"/>
      <c r="R195" s="37"/>
    </row>
    <row r="196" spans="3:18" ht="16.5">
      <c r="C196" s="37"/>
      <c r="F196" s="37"/>
      <c r="I196" s="37"/>
      <c r="L196" s="37"/>
      <c r="O196" s="37"/>
      <c r="R196" s="37"/>
    </row>
    <row r="197" spans="3:18" ht="16.5">
      <c r="C197" s="37"/>
      <c r="F197" s="37"/>
      <c r="I197" s="37"/>
      <c r="L197" s="37"/>
      <c r="O197" s="37"/>
      <c r="R197" s="37"/>
    </row>
    <row r="198" spans="3:18" ht="16.5">
      <c r="C198" s="37"/>
      <c r="F198" s="37"/>
      <c r="I198" s="37"/>
      <c r="L198" s="37"/>
      <c r="O198" s="37"/>
      <c r="R198" s="37"/>
    </row>
    <row r="199" spans="3:18" ht="16.5">
      <c r="C199" s="37"/>
      <c r="F199" s="37"/>
      <c r="I199" s="37"/>
      <c r="L199" s="37"/>
      <c r="O199" s="37"/>
      <c r="R199" s="37"/>
    </row>
    <row r="200" spans="3:18" ht="16.5">
      <c r="C200" s="37"/>
      <c r="F200" s="37"/>
      <c r="I200" s="37"/>
      <c r="L200" s="37"/>
      <c r="O200" s="37"/>
      <c r="R200" s="37"/>
    </row>
    <row r="201" spans="3:18" ht="16.5">
      <c r="C201" s="37"/>
      <c r="F201" s="37"/>
      <c r="I201" s="37"/>
      <c r="L201" s="37"/>
      <c r="O201" s="37"/>
      <c r="R201" s="37"/>
    </row>
    <row r="202" spans="3:18" ht="16.5">
      <c r="C202" s="37"/>
      <c r="F202" s="37"/>
      <c r="I202" s="37"/>
      <c r="L202" s="37"/>
      <c r="O202" s="37"/>
      <c r="R202" s="37"/>
    </row>
    <row r="203" spans="3:18" ht="16.5">
      <c r="C203" s="37"/>
      <c r="F203" s="37"/>
      <c r="I203" s="37"/>
      <c r="L203" s="37"/>
      <c r="O203" s="37"/>
      <c r="R203" s="37"/>
    </row>
    <row r="204" spans="3:18" ht="16.5">
      <c r="C204" s="37"/>
      <c r="F204" s="37"/>
      <c r="I204" s="37"/>
      <c r="L204" s="37"/>
      <c r="O204" s="37"/>
      <c r="R204" s="37"/>
    </row>
    <row r="205" spans="3:18" ht="16.5">
      <c r="C205" s="37"/>
      <c r="F205" s="37"/>
      <c r="I205" s="37"/>
      <c r="L205" s="37"/>
      <c r="O205" s="37"/>
      <c r="R205" s="37"/>
    </row>
    <row r="206" spans="3:18" ht="16.5">
      <c r="C206" s="37"/>
      <c r="F206" s="37"/>
      <c r="I206" s="37"/>
      <c r="L206" s="37"/>
      <c r="O206" s="37"/>
      <c r="R206" s="37"/>
    </row>
    <row r="207" spans="3:18" ht="16.5">
      <c r="C207" s="37"/>
      <c r="F207" s="37"/>
      <c r="I207" s="37"/>
      <c r="L207" s="37"/>
      <c r="O207" s="37"/>
      <c r="R207" s="37"/>
    </row>
    <row r="208" spans="3:18" ht="16.5">
      <c r="C208" s="37"/>
      <c r="F208" s="37"/>
      <c r="I208" s="37"/>
      <c r="L208" s="37"/>
      <c r="O208" s="37"/>
      <c r="R208" s="37"/>
    </row>
    <row r="209" spans="3:18" ht="16.5">
      <c r="C209" s="37"/>
      <c r="F209" s="37"/>
      <c r="I209" s="37"/>
      <c r="L209" s="37"/>
      <c r="O209" s="37"/>
      <c r="R209" s="37"/>
    </row>
    <row r="210" spans="3:18" ht="16.5">
      <c r="C210" s="37"/>
      <c r="F210" s="37"/>
      <c r="I210" s="37"/>
      <c r="L210" s="37"/>
      <c r="O210" s="37"/>
      <c r="R210" s="37"/>
    </row>
    <row r="211" spans="3:18" ht="16.5">
      <c r="C211" s="37"/>
      <c r="F211" s="37"/>
      <c r="I211" s="37"/>
      <c r="L211" s="37"/>
      <c r="O211" s="37"/>
      <c r="R211" s="37"/>
    </row>
    <row r="212" spans="3:18" ht="16.5">
      <c r="C212" s="37"/>
      <c r="F212" s="37"/>
      <c r="I212" s="37"/>
      <c r="L212" s="37"/>
      <c r="O212" s="37"/>
      <c r="R212" s="37"/>
    </row>
    <row r="213" spans="3:18" ht="16.5">
      <c r="C213" s="37"/>
      <c r="F213" s="37"/>
      <c r="I213" s="37"/>
      <c r="L213" s="37"/>
      <c r="O213" s="37"/>
      <c r="R213" s="37"/>
    </row>
    <row r="214" spans="3:18" ht="16.5">
      <c r="C214" s="37"/>
      <c r="F214" s="37"/>
      <c r="I214" s="37"/>
      <c r="L214" s="37"/>
      <c r="O214" s="37"/>
      <c r="R214" s="37"/>
    </row>
    <row r="215" spans="3:18" ht="16.5">
      <c r="C215" s="37"/>
      <c r="F215" s="37"/>
      <c r="I215" s="37"/>
      <c r="L215" s="37"/>
      <c r="O215" s="37"/>
      <c r="R215" s="37"/>
    </row>
    <row r="216" spans="3:18" ht="16.5">
      <c r="C216" s="37"/>
      <c r="F216" s="37"/>
      <c r="I216" s="37"/>
      <c r="L216" s="37"/>
      <c r="O216" s="37"/>
      <c r="R216" s="37"/>
    </row>
    <row r="217" spans="3:18" ht="16.5">
      <c r="C217" s="37"/>
      <c r="F217" s="37"/>
      <c r="I217" s="37"/>
      <c r="L217" s="37"/>
      <c r="O217" s="37"/>
      <c r="R217" s="37"/>
    </row>
    <row r="218" spans="3:18" ht="16.5">
      <c r="C218" s="37"/>
      <c r="F218" s="37"/>
      <c r="I218" s="37"/>
      <c r="L218" s="37"/>
      <c r="O218" s="37"/>
      <c r="R218" s="37"/>
    </row>
    <row r="219" spans="3:18" ht="16.5">
      <c r="C219" s="37"/>
      <c r="F219" s="37"/>
      <c r="I219" s="37"/>
      <c r="L219" s="37"/>
      <c r="O219" s="37"/>
      <c r="R219" s="37"/>
    </row>
    <row r="220" spans="3:18" ht="16.5">
      <c r="C220" s="37"/>
      <c r="F220" s="37"/>
      <c r="I220" s="37"/>
      <c r="L220" s="37"/>
      <c r="O220" s="37"/>
      <c r="R220" s="37"/>
    </row>
    <row r="221" spans="3:18" ht="16.5">
      <c r="C221" s="37"/>
      <c r="F221" s="37"/>
      <c r="I221" s="37"/>
      <c r="L221" s="37"/>
      <c r="O221" s="37"/>
      <c r="R221" s="37"/>
    </row>
    <row r="222" spans="3:18" ht="16.5">
      <c r="C222" s="37"/>
      <c r="F222" s="37"/>
      <c r="I222" s="37"/>
      <c r="L222" s="37"/>
      <c r="O222" s="37"/>
      <c r="R222" s="37"/>
    </row>
    <row r="223" spans="3:18" ht="16.5">
      <c r="C223" s="37"/>
      <c r="F223" s="37"/>
      <c r="I223" s="37"/>
      <c r="L223" s="37"/>
      <c r="O223" s="37"/>
      <c r="R223" s="37"/>
    </row>
    <row r="224" spans="3:18" ht="16.5">
      <c r="C224" s="37"/>
      <c r="F224" s="37"/>
      <c r="I224" s="37"/>
      <c r="L224" s="37"/>
      <c r="O224" s="37"/>
      <c r="R224" s="37"/>
    </row>
    <row r="225" spans="3:18" ht="16.5">
      <c r="C225" s="37"/>
      <c r="F225" s="37"/>
      <c r="I225" s="37"/>
      <c r="L225" s="37"/>
      <c r="O225" s="37"/>
      <c r="R225" s="37"/>
    </row>
    <row r="226" spans="3:18" ht="16.5">
      <c r="C226" s="37"/>
      <c r="F226" s="37"/>
      <c r="I226" s="37"/>
      <c r="L226" s="37"/>
      <c r="O226" s="37"/>
      <c r="R226" s="37"/>
    </row>
    <row r="227" spans="3:18" ht="16.5">
      <c r="C227" s="37"/>
      <c r="F227" s="37"/>
      <c r="I227" s="37"/>
      <c r="L227" s="37"/>
      <c r="O227" s="37"/>
      <c r="R227" s="37"/>
    </row>
    <row r="228" spans="3:18" ht="16.5">
      <c r="C228" s="37"/>
      <c r="F228" s="37"/>
      <c r="I228" s="37"/>
      <c r="L228" s="37"/>
      <c r="O228" s="37"/>
      <c r="R228" s="37"/>
    </row>
    <row r="229" spans="3:18" ht="16.5">
      <c r="C229" s="37"/>
      <c r="F229" s="37"/>
      <c r="I229" s="37"/>
      <c r="L229" s="37"/>
      <c r="O229" s="37"/>
      <c r="R229" s="37"/>
    </row>
    <row r="230" spans="3:18" ht="16.5">
      <c r="C230" s="37"/>
      <c r="F230" s="37"/>
      <c r="I230" s="37"/>
      <c r="L230" s="37"/>
      <c r="O230" s="37"/>
      <c r="R230" s="37"/>
    </row>
    <row r="231" spans="3:18" ht="16.5">
      <c r="C231" s="37"/>
      <c r="F231" s="37"/>
      <c r="I231" s="37"/>
      <c r="L231" s="37"/>
      <c r="O231" s="37"/>
      <c r="R231" s="37"/>
    </row>
    <row r="232" spans="3:18" ht="16.5">
      <c r="C232" s="37"/>
      <c r="F232" s="37"/>
      <c r="I232" s="37"/>
      <c r="L232" s="37"/>
      <c r="O232" s="37"/>
      <c r="R232" s="37"/>
    </row>
    <row r="233" spans="3:18" ht="16.5">
      <c r="C233" s="37"/>
      <c r="F233" s="37"/>
      <c r="I233" s="37"/>
      <c r="L233" s="37"/>
      <c r="O233" s="37"/>
      <c r="R233" s="37"/>
    </row>
    <row r="234" spans="3:18" ht="16.5">
      <c r="C234" s="37"/>
      <c r="F234" s="37"/>
      <c r="I234" s="37"/>
      <c r="L234" s="37"/>
      <c r="O234" s="37"/>
      <c r="R234" s="37"/>
    </row>
    <row r="235" spans="3:18" ht="16.5">
      <c r="C235" s="37"/>
      <c r="F235" s="37"/>
      <c r="I235" s="37"/>
      <c r="L235" s="37"/>
      <c r="O235" s="37"/>
      <c r="R235" s="37"/>
    </row>
    <row r="236" spans="3:18" ht="16.5">
      <c r="C236" s="37"/>
      <c r="F236" s="37"/>
      <c r="I236" s="37"/>
      <c r="L236" s="37"/>
      <c r="O236" s="37"/>
      <c r="R236" s="37"/>
    </row>
    <row r="237" spans="3:18" ht="16.5">
      <c r="C237" s="37"/>
      <c r="F237" s="37"/>
      <c r="I237" s="37"/>
      <c r="L237" s="37"/>
      <c r="O237" s="37"/>
      <c r="R237" s="37"/>
    </row>
    <row r="238" spans="3:18" ht="16.5">
      <c r="C238" s="37"/>
      <c r="F238" s="37"/>
      <c r="I238" s="37"/>
      <c r="L238" s="37"/>
      <c r="O238" s="37"/>
      <c r="R238" s="37"/>
    </row>
    <row r="239" spans="3:18" ht="16.5">
      <c r="C239" s="37"/>
      <c r="F239" s="37"/>
      <c r="I239" s="37"/>
      <c r="L239" s="37"/>
      <c r="O239" s="37"/>
      <c r="R239" s="37"/>
    </row>
    <row r="240" spans="3:18" ht="16.5">
      <c r="C240" s="37"/>
      <c r="F240" s="37"/>
      <c r="I240" s="37"/>
      <c r="L240" s="37"/>
      <c r="O240" s="37"/>
      <c r="R240" s="37"/>
    </row>
    <row r="241" spans="3:18" ht="16.5">
      <c r="C241" s="37"/>
      <c r="F241" s="37"/>
      <c r="I241" s="37"/>
      <c r="L241" s="37"/>
      <c r="O241" s="37"/>
      <c r="R241" s="37"/>
    </row>
    <row r="242" spans="3:18" ht="16.5">
      <c r="C242" s="37"/>
      <c r="F242" s="37"/>
      <c r="I242" s="37"/>
      <c r="L242" s="37"/>
      <c r="O242" s="37"/>
      <c r="R242" s="37"/>
    </row>
    <row r="243" spans="3:18" ht="16.5">
      <c r="C243" s="37"/>
      <c r="F243" s="37"/>
      <c r="I243" s="37"/>
      <c r="L243" s="37"/>
      <c r="O243" s="37"/>
      <c r="R243" s="37"/>
    </row>
    <row r="244" spans="3:18" ht="16.5">
      <c r="C244" s="37"/>
      <c r="F244" s="37"/>
      <c r="I244" s="37"/>
      <c r="L244" s="37"/>
      <c r="O244" s="37"/>
      <c r="R244" s="37"/>
    </row>
    <row r="245" spans="3:18" ht="16.5">
      <c r="C245" s="37"/>
      <c r="F245" s="37"/>
      <c r="I245" s="37"/>
      <c r="L245" s="37"/>
      <c r="O245" s="37"/>
      <c r="R245" s="37"/>
    </row>
    <row r="246" spans="3:18" ht="16.5">
      <c r="C246" s="37"/>
      <c r="F246" s="37"/>
      <c r="I246" s="37"/>
      <c r="L246" s="37"/>
      <c r="O246" s="37"/>
      <c r="R246" s="37"/>
    </row>
    <row r="247" spans="3:18" ht="16.5">
      <c r="C247" s="37"/>
      <c r="F247" s="37"/>
      <c r="I247" s="37"/>
      <c r="L247" s="37"/>
      <c r="O247" s="37"/>
      <c r="R247" s="37"/>
    </row>
    <row r="248" spans="3:18" ht="16.5">
      <c r="C248" s="37"/>
      <c r="F248" s="37"/>
      <c r="I248" s="37"/>
      <c r="L248" s="37"/>
      <c r="O248" s="37"/>
      <c r="R248" s="37"/>
    </row>
    <row r="249" spans="3:18" ht="16.5">
      <c r="C249" s="37"/>
      <c r="F249" s="37"/>
      <c r="I249" s="37"/>
      <c r="L249" s="37"/>
      <c r="O249" s="37"/>
      <c r="R249" s="37"/>
    </row>
    <row r="250" spans="3:18" ht="16.5">
      <c r="C250" s="37"/>
      <c r="F250" s="37"/>
      <c r="I250" s="37"/>
      <c r="L250" s="37"/>
      <c r="O250" s="37"/>
      <c r="R250" s="37"/>
    </row>
    <row r="251" spans="3:18" ht="16.5">
      <c r="C251" s="37"/>
      <c r="F251" s="37"/>
      <c r="I251" s="37"/>
      <c r="L251" s="37"/>
      <c r="O251" s="37"/>
      <c r="R251" s="37"/>
    </row>
    <row r="252" spans="3:18" ht="16.5">
      <c r="C252" s="37"/>
      <c r="F252" s="37"/>
      <c r="I252" s="37"/>
      <c r="L252" s="37"/>
      <c r="O252" s="37"/>
      <c r="R252" s="37"/>
    </row>
    <row r="253" spans="3:18" ht="16.5">
      <c r="C253" s="37"/>
      <c r="F253" s="37"/>
      <c r="I253" s="37"/>
      <c r="L253" s="37"/>
      <c r="O253" s="37"/>
      <c r="R253" s="37"/>
    </row>
    <row r="254" spans="3:18" ht="16.5">
      <c r="C254" s="37"/>
      <c r="F254" s="37"/>
      <c r="I254" s="37"/>
      <c r="L254" s="37"/>
      <c r="O254" s="37"/>
      <c r="R254" s="37"/>
    </row>
    <row r="255" spans="3:18" ht="16.5">
      <c r="C255" s="37"/>
      <c r="F255" s="37"/>
      <c r="I255" s="37"/>
      <c r="L255" s="37"/>
      <c r="O255" s="37"/>
      <c r="R255" s="37"/>
    </row>
    <row r="256" spans="3:18" ht="16.5">
      <c r="C256" s="37"/>
      <c r="F256" s="37"/>
      <c r="I256" s="37"/>
      <c r="L256" s="37"/>
      <c r="O256" s="37"/>
      <c r="R256" s="37"/>
    </row>
    <row r="257" spans="3:18" ht="16.5">
      <c r="C257" s="37"/>
      <c r="F257" s="37"/>
      <c r="I257" s="37"/>
      <c r="L257" s="37"/>
      <c r="O257" s="37"/>
      <c r="R257" s="37"/>
    </row>
    <row r="258" spans="3:18" ht="16.5">
      <c r="C258" s="37"/>
      <c r="F258" s="37"/>
      <c r="I258" s="37"/>
      <c r="L258" s="37"/>
      <c r="O258" s="37"/>
      <c r="R258" s="37"/>
    </row>
    <row r="259" spans="3:18" ht="16.5">
      <c r="C259" s="37"/>
      <c r="F259" s="37"/>
      <c r="I259" s="37"/>
      <c r="L259" s="37"/>
      <c r="O259" s="37"/>
      <c r="R259" s="37"/>
    </row>
    <row r="260" spans="3:18" ht="16.5">
      <c r="C260" s="37"/>
      <c r="F260" s="37"/>
      <c r="I260" s="37"/>
      <c r="L260" s="37"/>
      <c r="O260" s="37"/>
      <c r="R260" s="37"/>
    </row>
    <row r="261" spans="3:18" ht="16.5">
      <c r="C261" s="37"/>
      <c r="F261" s="37"/>
      <c r="I261" s="37"/>
      <c r="L261" s="37"/>
      <c r="O261" s="37"/>
      <c r="R261" s="37"/>
    </row>
    <row r="262" spans="3:18" ht="16.5">
      <c r="C262" s="37"/>
      <c r="F262" s="37"/>
      <c r="I262" s="37"/>
      <c r="L262" s="37"/>
      <c r="O262" s="37"/>
      <c r="R262" s="37"/>
    </row>
    <row r="263" spans="3:18" ht="16.5">
      <c r="C263" s="37"/>
      <c r="F263" s="37"/>
      <c r="I263" s="37"/>
      <c r="L263" s="37"/>
      <c r="O263" s="37"/>
      <c r="R263" s="37"/>
    </row>
    <row r="264" spans="3:18" ht="16.5">
      <c r="C264" s="37"/>
      <c r="F264" s="37"/>
      <c r="I264" s="37"/>
      <c r="L264" s="37"/>
      <c r="O264" s="37"/>
      <c r="R264" s="37"/>
    </row>
    <row r="265" spans="3:18" ht="16.5">
      <c r="C265" s="37"/>
      <c r="F265" s="37"/>
      <c r="I265" s="37"/>
      <c r="L265" s="37"/>
      <c r="O265" s="37"/>
      <c r="R265" s="37"/>
    </row>
    <row r="266" spans="3:18" ht="16.5">
      <c r="C266" s="37"/>
      <c r="F266" s="37"/>
      <c r="I266" s="37"/>
      <c r="L266" s="37"/>
      <c r="O266" s="37"/>
      <c r="R266" s="37"/>
    </row>
    <row r="267" spans="3:18" ht="16.5">
      <c r="C267" s="37"/>
      <c r="F267" s="37"/>
      <c r="I267" s="37"/>
      <c r="L267" s="37"/>
      <c r="O267" s="37"/>
      <c r="R267" s="37"/>
    </row>
    <row r="268" spans="3:18" ht="16.5">
      <c r="C268" s="37"/>
      <c r="F268" s="37"/>
      <c r="I268" s="37"/>
      <c r="L268" s="37"/>
      <c r="O268" s="37"/>
      <c r="R268" s="37"/>
    </row>
    <row r="269" spans="3:18" ht="16.5">
      <c r="C269" s="37"/>
      <c r="F269" s="37"/>
      <c r="I269" s="37"/>
      <c r="L269" s="37"/>
      <c r="O269" s="37"/>
      <c r="R269" s="37"/>
    </row>
    <row r="270" spans="3:18" ht="16.5">
      <c r="C270" s="37"/>
      <c r="F270" s="37"/>
      <c r="I270" s="37"/>
      <c r="L270" s="37"/>
      <c r="O270" s="37"/>
      <c r="R270" s="37"/>
    </row>
    <row r="271" spans="3:18" ht="16.5">
      <c r="C271" s="37"/>
      <c r="F271" s="37"/>
      <c r="I271" s="37"/>
      <c r="L271" s="37"/>
      <c r="O271" s="37"/>
      <c r="R271" s="37"/>
    </row>
    <row r="272" spans="3:18" ht="16.5">
      <c r="C272" s="37"/>
      <c r="F272" s="37"/>
      <c r="I272" s="37"/>
      <c r="L272" s="37"/>
      <c r="O272" s="37"/>
      <c r="R272" s="37"/>
    </row>
    <row r="273" spans="3:18" ht="16.5">
      <c r="C273" s="37"/>
      <c r="F273" s="37"/>
      <c r="I273" s="37"/>
      <c r="L273" s="37"/>
      <c r="O273" s="37"/>
      <c r="R273" s="37"/>
    </row>
    <row r="274" spans="3:18" ht="16.5">
      <c r="C274" s="37"/>
      <c r="F274" s="37"/>
      <c r="I274" s="37"/>
      <c r="L274" s="37"/>
      <c r="O274" s="37"/>
      <c r="R274" s="37"/>
    </row>
    <row r="275" spans="3:18" ht="16.5">
      <c r="C275" s="37"/>
      <c r="F275" s="37"/>
      <c r="I275" s="37"/>
      <c r="L275" s="37"/>
      <c r="O275" s="37"/>
      <c r="R275" s="37"/>
    </row>
    <row r="276" spans="3:18" ht="16.5">
      <c r="C276" s="37"/>
      <c r="F276" s="37"/>
      <c r="I276" s="37"/>
      <c r="L276" s="37"/>
      <c r="O276" s="37"/>
      <c r="R276" s="37"/>
    </row>
    <row r="277" spans="3:18" ht="16.5">
      <c r="C277" s="37"/>
      <c r="F277" s="37"/>
      <c r="I277" s="37"/>
      <c r="L277" s="37"/>
      <c r="O277" s="37"/>
      <c r="R277" s="37"/>
    </row>
    <row r="278" spans="3:18" ht="16.5">
      <c r="C278" s="37"/>
      <c r="F278" s="37"/>
      <c r="I278" s="37"/>
      <c r="L278" s="37"/>
      <c r="O278" s="37"/>
      <c r="R278" s="37"/>
    </row>
    <row r="279" spans="3:18" ht="16.5">
      <c r="C279" s="37"/>
      <c r="F279" s="37"/>
      <c r="I279" s="37"/>
      <c r="L279" s="37"/>
      <c r="O279" s="37"/>
      <c r="R279" s="37"/>
    </row>
    <row r="280" spans="3:18" ht="16.5">
      <c r="C280" s="37"/>
      <c r="F280" s="37"/>
      <c r="I280" s="37"/>
      <c r="L280" s="37"/>
      <c r="O280" s="37"/>
      <c r="R280" s="37"/>
    </row>
    <row r="281" spans="3:18" ht="16.5">
      <c r="C281" s="37"/>
      <c r="F281" s="37"/>
      <c r="I281" s="37"/>
      <c r="L281" s="37"/>
      <c r="O281" s="37"/>
      <c r="R281" s="37"/>
    </row>
    <row r="282" spans="3:18" ht="16.5">
      <c r="C282" s="37"/>
      <c r="F282" s="37"/>
      <c r="I282" s="37"/>
      <c r="L282" s="37"/>
      <c r="O282" s="37"/>
      <c r="R282" s="37"/>
    </row>
    <row r="283" spans="3:18" ht="16.5">
      <c r="C283" s="37"/>
      <c r="F283" s="37"/>
      <c r="I283" s="37"/>
      <c r="L283" s="37"/>
      <c r="O283" s="37"/>
      <c r="R283" s="37"/>
    </row>
    <row r="284" spans="3:18" ht="16.5">
      <c r="C284" s="37"/>
      <c r="F284" s="37"/>
      <c r="I284" s="37"/>
      <c r="L284" s="37"/>
      <c r="O284" s="37"/>
      <c r="R284" s="37"/>
    </row>
    <row r="285" spans="3:18" ht="16.5">
      <c r="C285" s="37"/>
      <c r="F285" s="37"/>
      <c r="I285" s="37"/>
      <c r="L285" s="37"/>
      <c r="O285" s="37"/>
      <c r="R285" s="37"/>
    </row>
    <row r="286" spans="3:18" ht="16.5">
      <c r="C286" s="37"/>
      <c r="F286" s="37"/>
      <c r="I286" s="37"/>
      <c r="L286" s="37"/>
      <c r="O286" s="37"/>
      <c r="R286" s="37"/>
    </row>
    <row r="287" spans="3:18" ht="16.5">
      <c r="C287" s="37"/>
      <c r="F287" s="37"/>
      <c r="I287" s="37"/>
      <c r="L287" s="37"/>
      <c r="O287" s="37"/>
      <c r="R287" s="37"/>
    </row>
    <row r="288" spans="3:18" ht="16.5">
      <c r="C288" s="37"/>
      <c r="F288" s="37"/>
      <c r="I288" s="37"/>
      <c r="L288" s="37"/>
      <c r="O288" s="37"/>
      <c r="R288" s="37"/>
    </row>
    <row r="289" spans="3:18" ht="16.5">
      <c r="C289" s="37"/>
      <c r="F289" s="37"/>
      <c r="I289" s="37"/>
      <c r="L289" s="37"/>
      <c r="O289" s="37"/>
      <c r="R289" s="37"/>
    </row>
    <row r="290" spans="3:18" ht="16.5">
      <c r="C290" s="37"/>
      <c r="F290" s="37"/>
      <c r="I290" s="37"/>
      <c r="L290" s="37"/>
      <c r="O290" s="37"/>
      <c r="R290" s="37"/>
    </row>
    <row r="291" spans="3:18" ht="16.5">
      <c r="C291" s="37"/>
      <c r="F291" s="37"/>
      <c r="I291" s="37"/>
      <c r="L291" s="37"/>
      <c r="O291" s="37"/>
      <c r="R291" s="37"/>
    </row>
    <row r="292" spans="3:18" ht="16.5">
      <c r="C292" s="37"/>
      <c r="F292" s="37"/>
      <c r="I292" s="37"/>
      <c r="L292" s="37"/>
      <c r="O292" s="37"/>
      <c r="R292" s="37"/>
    </row>
    <row r="293" spans="3:18" ht="16.5">
      <c r="C293" s="37"/>
      <c r="F293" s="37"/>
      <c r="I293" s="37"/>
      <c r="L293" s="37"/>
      <c r="O293" s="37"/>
      <c r="R293" s="37"/>
    </row>
    <row r="294" spans="3:18" ht="16.5">
      <c r="C294" s="37"/>
      <c r="F294" s="37"/>
      <c r="I294" s="37"/>
      <c r="L294" s="37"/>
      <c r="O294" s="37"/>
      <c r="R294" s="37"/>
    </row>
    <row r="295" spans="3:18" ht="16.5">
      <c r="C295" s="37"/>
      <c r="F295" s="37"/>
      <c r="I295" s="37"/>
      <c r="L295" s="37"/>
      <c r="O295" s="37"/>
      <c r="R295" s="37"/>
    </row>
    <row r="296" spans="3:18" ht="16.5">
      <c r="C296" s="37"/>
      <c r="F296" s="37"/>
      <c r="I296" s="37"/>
      <c r="L296" s="37"/>
      <c r="O296" s="37"/>
      <c r="R296" s="37"/>
    </row>
    <row r="297" spans="3:18" ht="16.5">
      <c r="C297" s="37"/>
      <c r="F297" s="37"/>
      <c r="I297" s="37"/>
      <c r="L297" s="37"/>
      <c r="O297" s="37"/>
      <c r="R297" s="37"/>
    </row>
    <row r="298" spans="3:18" ht="16.5">
      <c r="C298" s="37"/>
      <c r="F298" s="37"/>
      <c r="I298" s="37"/>
      <c r="L298" s="37"/>
      <c r="O298" s="37"/>
      <c r="R298" s="37"/>
    </row>
    <row r="299" spans="3:18" ht="16.5">
      <c r="C299" s="37"/>
      <c r="F299" s="37"/>
      <c r="I299" s="37"/>
      <c r="L299" s="37"/>
      <c r="O299" s="37"/>
      <c r="R299" s="37"/>
    </row>
    <row r="300" spans="3:18" ht="16.5">
      <c r="C300" s="37"/>
      <c r="F300" s="37"/>
      <c r="I300" s="37"/>
      <c r="L300" s="37"/>
      <c r="O300" s="37"/>
      <c r="R300" s="37"/>
    </row>
    <row r="301" spans="3:18" ht="16.5">
      <c r="C301" s="37"/>
      <c r="F301" s="37"/>
      <c r="I301" s="37"/>
      <c r="L301" s="37"/>
      <c r="O301" s="37"/>
      <c r="R301" s="37"/>
    </row>
    <row r="302" spans="3:18" ht="16.5">
      <c r="C302" s="37"/>
      <c r="F302" s="37"/>
      <c r="I302" s="37"/>
      <c r="L302" s="37"/>
      <c r="O302" s="37"/>
      <c r="R302" s="37"/>
    </row>
    <row r="303" spans="3:18" ht="16.5">
      <c r="C303" s="37"/>
      <c r="F303" s="37"/>
      <c r="I303" s="37"/>
      <c r="L303" s="37"/>
      <c r="O303" s="37"/>
      <c r="R303" s="37"/>
    </row>
    <row r="304" spans="3:18" ht="16.5">
      <c r="C304" s="37"/>
      <c r="F304" s="37"/>
      <c r="I304" s="37"/>
      <c r="L304" s="37"/>
      <c r="O304" s="37"/>
      <c r="R304" s="37"/>
    </row>
    <row r="305" spans="3:18" ht="16.5">
      <c r="C305" s="37"/>
      <c r="F305" s="37"/>
      <c r="I305" s="37"/>
      <c r="L305" s="37"/>
      <c r="O305" s="37"/>
      <c r="R305" s="37"/>
    </row>
    <row r="306" spans="3:18" ht="16.5">
      <c r="C306" s="37"/>
      <c r="F306" s="37"/>
      <c r="I306" s="37"/>
      <c r="L306" s="37"/>
      <c r="O306" s="37"/>
      <c r="R306" s="37"/>
    </row>
    <row r="307" spans="3:18" ht="16.5">
      <c r="C307" s="37"/>
      <c r="F307" s="37"/>
      <c r="I307" s="37"/>
      <c r="L307" s="37"/>
      <c r="O307" s="37"/>
      <c r="R307" s="37"/>
    </row>
    <row r="308" spans="3:18" ht="16.5">
      <c r="C308" s="37"/>
      <c r="F308" s="37"/>
      <c r="I308" s="37"/>
      <c r="L308" s="37"/>
      <c r="O308" s="37"/>
      <c r="R308" s="37"/>
    </row>
    <row r="309" spans="3:18" ht="16.5">
      <c r="C309" s="37"/>
      <c r="F309" s="37"/>
      <c r="I309" s="37"/>
      <c r="L309" s="37"/>
      <c r="O309" s="37"/>
      <c r="R309" s="37"/>
    </row>
    <row r="310" spans="3:18" ht="16.5">
      <c r="C310" s="37"/>
      <c r="F310" s="37"/>
      <c r="I310" s="37"/>
      <c r="L310" s="37"/>
      <c r="O310" s="37"/>
      <c r="R310" s="37"/>
    </row>
    <row r="311" spans="3:18" ht="16.5">
      <c r="C311" s="37"/>
      <c r="F311" s="37"/>
      <c r="I311" s="37"/>
      <c r="L311" s="37"/>
      <c r="O311" s="37"/>
      <c r="R311" s="37"/>
    </row>
    <row r="312" spans="3:18" ht="16.5">
      <c r="C312" s="37"/>
      <c r="F312" s="37"/>
      <c r="I312" s="37"/>
      <c r="L312" s="37"/>
      <c r="O312" s="37"/>
      <c r="R312" s="37"/>
    </row>
    <row r="313" spans="3:18" ht="16.5">
      <c r="C313" s="37"/>
      <c r="F313" s="37"/>
      <c r="I313" s="37"/>
      <c r="L313" s="37"/>
      <c r="O313" s="37"/>
      <c r="R313" s="37"/>
    </row>
    <row r="314" spans="3:18" ht="16.5">
      <c r="C314" s="37"/>
      <c r="F314" s="37"/>
      <c r="I314" s="37"/>
      <c r="L314" s="37"/>
      <c r="O314" s="37"/>
      <c r="R314" s="37"/>
    </row>
    <row r="315" spans="3:18" ht="16.5">
      <c r="C315" s="37"/>
      <c r="F315" s="37"/>
      <c r="I315" s="37"/>
      <c r="L315" s="37"/>
      <c r="O315" s="37"/>
      <c r="R315" s="37"/>
    </row>
    <row r="316" spans="3:18" ht="16.5">
      <c r="C316" s="37"/>
      <c r="F316" s="37"/>
      <c r="I316" s="37"/>
      <c r="L316" s="37"/>
      <c r="O316" s="37"/>
      <c r="R316" s="37"/>
    </row>
    <row r="317" spans="3:18" ht="16.5">
      <c r="C317" s="37"/>
      <c r="F317" s="37"/>
      <c r="I317" s="37"/>
      <c r="L317" s="37"/>
      <c r="O317" s="37"/>
      <c r="R317" s="37"/>
    </row>
    <row r="318" spans="3:18" ht="16.5">
      <c r="C318" s="37"/>
      <c r="F318" s="37"/>
      <c r="I318" s="37"/>
      <c r="L318" s="37"/>
      <c r="O318" s="37"/>
      <c r="R318" s="37"/>
    </row>
    <row r="319" spans="3:18" ht="16.5">
      <c r="C319" s="37"/>
      <c r="F319" s="37"/>
      <c r="I319" s="37"/>
      <c r="L319" s="37"/>
      <c r="O319" s="37"/>
      <c r="R319" s="37"/>
    </row>
    <row r="320" spans="3:18" ht="16.5">
      <c r="C320" s="37"/>
      <c r="F320" s="37"/>
      <c r="I320" s="37"/>
      <c r="L320" s="37"/>
      <c r="O320" s="37"/>
      <c r="R320" s="37"/>
    </row>
    <row r="321" spans="3:18" ht="16.5">
      <c r="C321" s="37"/>
      <c r="F321" s="37"/>
      <c r="I321" s="37"/>
      <c r="L321" s="37"/>
      <c r="O321" s="37"/>
      <c r="R321" s="37"/>
    </row>
    <row r="322" spans="3:18" ht="16.5">
      <c r="C322" s="37"/>
      <c r="F322" s="37"/>
      <c r="I322" s="37"/>
      <c r="L322" s="37"/>
      <c r="O322" s="37"/>
      <c r="R322" s="37"/>
    </row>
    <row r="323" spans="3:18" ht="16.5">
      <c r="C323" s="37"/>
      <c r="F323" s="37"/>
      <c r="I323" s="37"/>
      <c r="L323" s="37"/>
      <c r="O323" s="37"/>
      <c r="R323" s="37"/>
    </row>
    <row r="324" spans="3:18" ht="16.5">
      <c r="C324" s="37"/>
      <c r="F324" s="37"/>
      <c r="I324" s="37"/>
      <c r="L324" s="37"/>
      <c r="O324" s="37"/>
      <c r="R324" s="37"/>
    </row>
    <row r="325" spans="3:18" ht="16.5">
      <c r="C325" s="37"/>
      <c r="F325" s="37"/>
      <c r="I325" s="37"/>
      <c r="L325" s="37"/>
      <c r="O325" s="37"/>
      <c r="R325" s="37"/>
    </row>
    <row r="326" spans="3:18" ht="16.5">
      <c r="C326" s="37"/>
      <c r="F326" s="37"/>
      <c r="I326" s="37"/>
      <c r="L326" s="37"/>
      <c r="O326" s="37"/>
      <c r="R326" s="37"/>
    </row>
    <row r="327" spans="3:18" ht="16.5">
      <c r="C327" s="37"/>
      <c r="F327" s="37"/>
      <c r="I327" s="37"/>
      <c r="L327" s="37"/>
      <c r="O327" s="37"/>
      <c r="R327" s="37"/>
    </row>
    <row r="328" spans="3:18" ht="16.5">
      <c r="C328" s="37"/>
      <c r="F328" s="37"/>
      <c r="I328" s="37"/>
      <c r="L328" s="37"/>
      <c r="O328" s="37"/>
      <c r="R328" s="37"/>
    </row>
    <row r="329" spans="3:18" ht="16.5">
      <c r="C329" s="37"/>
      <c r="F329" s="37"/>
      <c r="I329" s="37"/>
      <c r="L329" s="37"/>
      <c r="O329" s="37"/>
      <c r="R329" s="37"/>
    </row>
    <row r="330" spans="3:18" ht="16.5">
      <c r="C330" s="37"/>
      <c r="F330" s="37"/>
      <c r="I330" s="37"/>
      <c r="L330" s="37"/>
      <c r="O330" s="37"/>
      <c r="R330" s="37"/>
    </row>
    <row r="331" spans="3:18" ht="16.5">
      <c r="C331" s="37"/>
      <c r="F331" s="37"/>
      <c r="I331" s="37"/>
      <c r="L331" s="37"/>
      <c r="O331" s="37"/>
      <c r="R331" s="37"/>
    </row>
    <row r="332" spans="3:18" ht="16.5">
      <c r="C332" s="37"/>
      <c r="F332" s="37"/>
      <c r="I332" s="37"/>
      <c r="L332" s="37"/>
      <c r="O332" s="37"/>
      <c r="R332" s="37"/>
    </row>
    <row r="333" spans="3:18" ht="16.5">
      <c r="C333" s="37"/>
      <c r="F333" s="37"/>
      <c r="I333" s="37"/>
      <c r="L333" s="37"/>
      <c r="O333" s="37"/>
      <c r="R333" s="37"/>
    </row>
    <row r="334" spans="3:18" ht="16.5">
      <c r="C334" s="37"/>
      <c r="F334" s="37"/>
      <c r="I334" s="37"/>
      <c r="L334" s="37"/>
      <c r="O334" s="37"/>
      <c r="R334" s="37"/>
    </row>
    <row r="335" spans="3:18" ht="16.5">
      <c r="C335" s="37"/>
      <c r="F335" s="37"/>
      <c r="I335" s="37"/>
      <c r="L335" s="37"/>
      <c r="O335" s="37"/>
      <c r="R335" s="37"/>
    </row>
    <row r="336" spans="3:18" ht="16.5">
      <c r="C336" s="37"/>
      <c r="F336" s="37"/>
      <c r="I336" s="37"/>
      <c r="L336" s="37"/>
      <c r="O336" s="37"/>
      <c r="R336" s="37"/>
    </row>
    <row r="337" spans="3:18" ht="16.5">
      <c r="C337" s="37"/>
      <c r="F337" s="37"/>
      <c r="I337" s="37"/>
      <c r="L337" s="37"/>
      <c r="O337" s="37"/>
      <c r="R337" s="37"/>
    </row>
    <row r="338" spans="3:18" ht="16.5">
      <c r="C338" s="37"/>
      <c r="F338" s="37"/>
      <c r="I338" s="37"/>
      <c r="L338" s="37"/>
      <c r="O338" s="37"/>
      <c r="R338" s="37"/>
    </row>
    <row r="339" spans="3:18" ht="16.5">
      <c r="C339" s="37"/>
      <c r="F339" s="37"/>
      <c r="I339" s="37"/>
      <c r="L339" s="37"/>
      <c r="O339" s="37"/>
      <c r="R339" s="37"/>
    </row>
    <row r="340" spans="3:18" ht="16.5">
      <c r="C340" s="37"/>
      <c r="F340" s="37"/>
      <c r="I340" s="37"/>
      <c r="L340" s="37"/>
      <c r="O340" s="37"/>
      <c r="R340" s="37"/>
    </row>
    <row r="341" spans="3:18" ht="16.5">
      <c r="C341" s="37"/>
      <c r="F341" s="37"/>
      <c r="I341" s="37"/>
      <c r="L341" s="37"/>
      <c r="O341" s="37"/>
      <c r="R341" s="37"/>
    </row>
    <row r="342" spans="3:18" ht="16.5">
      <c r="C342" s="37"/>
      <c r="F342" s="37"/>
      <c r="I342" s="37"/>
      <c r="L342" s="37"/>
      <c r="O342" s="37"/>
      <c r="R342" s="37"/>
    </row>
    <row r="343" spans="3:18" ht="16.5">
      <c r="C343" s="37"/>
      <c r="F343" s="37"/>
      <c r="I343" s="37"/>
      <c r="L343" s="37"/>
      <c r="O343" s="37"/>
      <c r="R343" s="37"/>
    </row>
    <row r="344" spans="3:18" ht="16.5">
      <c r="C344" s="37"/>
      <c r="F344" s="37"/>
      <c r="I344" s="37"/>
      <c r="L344" s="37"/>
      <c r="O344" s="37"/>
      <c r="R344" s="37"/>
    </row>
    <row r="345" spans="3:18" ht="16.5">
      <c r="C345" s="37"/>
      <c r="F345" s="37"/>
      <c r="I345" s="37"/>
      <c r="L345" s="37"/>
      <c r="O345" s="37"/>
      <c r="R345" s="37"/>
    </row>
    <row r="346" spans="3:18" ht="16.5">
      <c r="C346" s="37"/>
      <c r="F346" s="37"/>
      <c r="I346" s="37"/>
      <c r="L346" s="37"/>
      <c r="O346" s="37"/>
      <c r="R346" s="37"/>
    </row>
    <row r="347" spans="3:18" ht="16.5">
      <c r="C347" s="37"/>
      <c r="F347" s="37"/>
      <c r="I347" s="37"/>
      <c r="L347" s="37"/>
      <c r="O347" s="37"/>
      <c r="R347" s="37"/>
    </row>
    <row r="348" spans="3:18" ht="16.5">
      <c r="C348" s="37"/>
      <c r="F348" s="37"/>
      <c r="I348" s="37"/>
      <c r="L348" s="37"/>
      <c r="O348" s="37"/>
      <c r="R348" s="37"/>
    </row>
    <row r="349" spans="3:18" ht="16.5">
      <c r="C349" s="37"/>
      <c r="F349" s="37"/>
      <c r="I349" s="37"/>
      <c r="L349" s="37"/>
      <c r="O349" s="37"/>
      <c r="R349" s="37"/>
    </row>
    <row r="350" spans="3:18" ht="16.5">
      <c r="C350" s="37"/>
      <c r="F350" s="37"/>
      <c r="I350" s="37"/>
      <c r="L350" s="37"/>
      <c r="O350" s="37"/>
      <c r="R350" s="37"/>
    </row>
    <row r="351" spans="3:18" ht="16.5">
      <c r="C351" s="37"/>
      <c r="F351" s="37"/>
      <c r="I351" s="37"/>
      <c r="L351" s="37"/>
      <c r="O351" s="37"/>
      <c r="R351" s="37"/>
    </row>
    <row r="352" spans="3:18" ht="16.5">
      <c r="C352" s="37"/>
      <c r="F352" s="37"/>
      <c r="I352" s="37"/>
      <c r="L352" s="37"/>
      <c r="O352" s="37"/>
      <c r="R352" s="37"/>
    </row>
    <row r="353" spans="3:18" ht="16.5">
      <c r="C353" s="37"/>
      <c r="F353" s="37"/>
      <c r="I353" s="37"/>
      <c r="L353" s="37"/>
      <c r="O353" s="37"/>
      <c r="R353" s="37"/>
    </row>
    <row r="354" spans="3:18" ht="16.5">
      <c r="C354" s="37"/>
      <c r="F354" s="37"/>
      <c r="I354" s="37"/>
      <c r="L354" s="37"/>
      <c r="O354" s="37"/>
      <c r="R354" s="37"/>
    </row>
    <row r="355" spans="3:18" ht="16.5">
      <c r="C355" s="37"/>
      <c r="F355" s="37"/>
      <c r="I355" s="37"/>
      <c r="L355" s="37"/>
      <c r="O355" s="37"/>
      <c r="R355" s="37"/>
    </row>
    <row r="356" spans="3:18" ht="16.5">
      <c r="C356" s="37"/>
      <c r="F356" s="37"/>
      <c r="I356" s="37"/>
      <c r="L356" s="37"/>
      <c r="O356" s="37"/>
      <c r="R356" s="37"/>
    </row>
    <row r="357" spans="3:18" ht="16.5">
      <c r="C357" s="37"/>
      <c r="F357" s="37"/>
      <c r="I357" s="37"/>
      <c r="L357" s="37"/>
      <c r="O357" s="37"/>
      <c r="R357" s="37"/>
    </row>
    <row r="358" spans="3:18" ht="16.5">
      <c r="C358" s="37"/>
      <c r="F358" s="37"/>
      <c r="I358" s="37"/>
      <c r="L358" s="37"/>
      <c r="O358" s="37"/>
      <c r="R358" s="37"/>
    </row>
    <row r="359" spans="3:18" ht="16.5">
      <c r="C359" s="37"/>
      <c r="F359" s="37"/>
      <c r="I359" s="37"/>
      <c r="L359" s="37"/>
      <c r="O359" s="37"/>
      <c r="R359" s="37"/>
    </row>
    <row r="360" spans="3:18" ht="16.5">
      <c r="C360" s="37"/>
      <c r="F360" s="37"/>
      <c r="I360" s="37"/>
      <c r="L360" s="37"/>
      <c r="O360" s="37"/>
      <c r="R360" s="37"/>
    </row>
    <row r="361" spans="3:18" ht="16.5">
      <c r="C361" s="37"/>
      <c r="F361" s="37"/>
      <c r="I361" s="37"/>
      <c r="L361" s="37"/>
      <c r="O361" s="37"/>
      <c r="R361" s="37"/>
    </row>
    <row r="362" spans="3:18" ht="16.5">
      <c r="C362" s="37"/>
      <c r="F362" s="37"/>
      <c r="I362" s="37"/>
      <c r="L362" s="37"/>
      <c r="O362" s="37"/>
      <c r="R362" s="37"/>
    </row>
    <row r="363" spans="3:18" ht="16.5">
      <c r="C363" s="37"/>
      <c r="F363" s="37"/>
      <c r="I363" s="37"/>
      <c r="L363" s="37"/>
      <c r="O363" s="37"/>
      <c r="R363" s="37"/>
    </row>
    <row r="364" spans="3:18" ht="16.5">
      <c r="C364" s="37"/>
      <c r="F364" s="37"/>
      <c r="I364" s="37"/>
      <c r="L364" s="37"/>
      <c r="O364" s="37"/>
      <c r="R364" s="37"/>
    </row>
    <row r="365" spans="3:18" ht="16.5">
      <c r="C365" s="37"/>
      <c r="F365" s="37"/>
      <c r="I365" s="37"/>
      <c r="L365" s="37"/>
      <c r="O365" s="37"/>
      <c r="R365" s="37"/>
    </row>
    <row r="366" spans="3:18" ht="16.5">
      <c r="C366" s="37"/>
      <c r="F366" s="37"/>
      <c r="I366" s="37"/>
      <c r="L366" s="37"/>
      <c r="O366" s="37"/>
      <c r="R366" s="37"/>
    </row>
    <row r="367" spans="3:18" ht="16.5">
      <c r="C367" s="37"/>
      <c r="F367" s="37"/>
      <c r="I367" s="37"/>
      <c r="L367" s="37"/>
      <c r="O367" s="37"/>
      <c r="R367" s="37"/>
    </row>
    <row r="368" spans="3:18" ht="16.5">
      <c r="C368" s="37"/>
      <c r="F368" s="37"/>
      <c r="I368" s="37"/>
      <c r="L368" s="37"/>
      <c r="O368" s="37"/>
      <c r="R368" s="37"/>
    </row>
    <row r="369" spans="3:18" ht="16.5">
      <c r="C369" s="37"/>
      <c r="F369" s="37"/>
      <c r="I369" s="37"/>
      <c r="L369" s="37"/>
      <c r="O369" s="37"/>
      <c r="R369" s="37"/>
    </row>
    <row r="370" spans="3:18" ht="16.5">
      <c r="C370" s="37"/>
      <c r="F370" s="37"/>
      <c r="I370" s="37"/>
      <c r="L370" s="37"/>
      <c r="O370" s="37"/>
      <c r="R370" s="37"/>
    </row>
    <row r="371" spans="3:18" ht="16.5">
      <c r="C371" s="37"/>
      <c r="F371" s="37"/>
      <c r="I371" s="37"/>
      <c r="L371" s="37"/>
      <c r="O371" s="37"/>
      <c r="R371" s="37"/>
    </row>
    <row r="372" spans="3:18" ht="16.5">
      <c r="C372" s="37"/>
      <c r="F372" s="37"/>
      <c r="I372" s="37"/>
      <c r="L372" s="37"/>
      <c r="O372" s="37"/>
      <c r="R372" s="37"/>
    </row>
    <row r="373" spans="3:18" ht="16.5">
      <c r="C373" s="37"/>
      <c r="F373" s="37"/>
      <c r="I373" s="37"/>
      <c r="L373" s="37"/>
      <c r="O373" s="37"/>
      <c r="R373" s="37"/>
    </row>
    <row r="374" spans="3:18" ht="16.5">
      <c r="C374" s="37"/>
      <c r="F374" s="37"/>
      <c r="I374" s="37"/>
      <c r="L374" s="37"/>
      <c r="O374" s="37"/>
      <c r="R374" s="37"/>
    </row>
    <row r="375" spans="3:18" ht="16.5">
      <c r="C375" s="37"/>
      <c r="F375" s="37"/>
      <c r="I375" s="37"/>
      <c r="L375" s="37"/>
      <c r="O375" s="37"/>
      <c r="R375" s="37"/>
    </row>
    <row r="376" spans="3:18" ht="16.5">
      <c r="C376" s="37"/>
      <c r="F376" s="37"/>
      <c r="I376" s="37"/>
      <c r="L376" s="37"/>
      <c r="O376" s="37"/>
      <c r="R376" s="37"/>
    </row>
    <row r="377" spans="3:18" ht="16.5">
      <c r="C377" s="37"/>
      <c r="F377" s="37"/>
      <c r="I377" s="37"/>
      <c r="L377" s="37"/>
      <c r="O377" s="37"/>
      <c r="R377" s="37"/>
    </row>
    <row r="378" spans="3:18" ht="16.5">
      <c r="C378" s="37"/>
      <c r="F378" s="37"/>
      <c r="I378" s="37"/>
      <c r="L378" s="37"/>
      <c r="O378" s="37"/>
      <c r="R378" s="37"/>
    </row>
    <row r="379" spans="3:18" ht="16.5">
      <c r="C379" s="37"/>
      <c r="F379" s="37"/>
      <c r="I379" s="37"/>
      <c r="L379" s="37"/>
      <c r="O379" s="37"/>
      <c r="R379" s="37"/>
    </row>
    <row r="380" spans="3:18" ht="16.5">
      <c r="C380" s="37"/>
      <c r="F380" s="37"/>
      <c r="I380" s="37"/>
      <c r="L380" s="37"/>
      <c r="O380" s="37"/>
      <c r="R380" s="37"/>
    </row>
    <row r="381" spans="3:18" ht="16.5">
      <c r="C381" s="37"/>
      <c r="F381" s="37"/>
      <c r="I381" s="37"/>
      <c r="L381" s="37"/>
      <c r="O381" s="37"/>
      <c r="R381" s="37"/>
    </row>
    <row r="382" spans="3:18" ht="16.5">
      <c r="C382" s="37"/>
      <c r="F382" s="37"/>
      <c r="I382" s="37"/>
      <c r="L382" s="37"/>
      <c r="O382" s="37"/>
      <c r="R382" s="37"/>
    </row>
    <row r="383" spans="3:18" ht="16.5">
      <c r="C383" s="37"/>
      <c r="F383" s="37"/>
      <c r="I383" s="37"/>
      <c r="L383" s="37"/>
      <c r="O383" s="37"/>
      <c r="R383" s="37"/>
    </row>
    <row r="384" spans="3:18" ht="16.5">
      <c r="C384" s="37"/>
      <c r="F384" s="37"/>
      <c r="I384" s="37"/>
      <c r="L384" s="37"/>
      <c r="O384" s="37"/>
      <c r="R384" s="37"/>
    </row>
    <row r="385" spans="3:18" ht="16.5">
      <c r="C385" s="37"/>
      <c r="F385" s="37"/>
      <c r="I385" s="37"/>
      <c r="L385" s="37"/>
      <c r="O385" s="37"/>
      <c r="R385" s="37"/>
    </row>
    <row r="386" spans="3:18" ht="16.5">
      <c r="C386" s="37"/>
      <c r="F386" s="37"/>
      <c r="I386" s="37"/>
      <c r="L386" s="37"/>
      <c r="O386" s="37"/>
      <c r="R386" s="37"/>
    </row>
    <row r="387" spans="3:18" ht="16.5">
      <c r="C387" s="37"/>
      <c r="F387" s="37"/>
      <c r="I387" s="37"/>
      <c r="L387" s="37"/>
      <c r="O387" s="37"/>
      <c r="R387" s="37"/>
    </row>
    <row r="388" spans="3:18" ht="16.5">
      <c r="C388" s="37"/>
      <c r="F388" s="37"/>
      <c r="I388" s="37"/>
      <c r="L388" s="37"/>
      <c r="O388" s="37"/>
      <c r="R388" s="37"/>
    </row>
    <row r="389" spans="3:18" ht="16.5">
      <c r="C389" s="37"/>
      <c r="F389" s="37"/>
      <c r="I389" s="37"/>
      <c r="L389" s="37"/>
      <c r="O389" s="37"/>
      <c r="R389" s="37"/>
    </row>
    <row r="390" spans="3:18" ht="16.5">
      <c r="C390" s="37"/>
      <c r="F390" s="37"/>
      <c r="I390" s="37"/>
      <c r="L390" s="37"/>
      <c r="O390" s="37"/>
      <c r="R390" s="37"/>
    </row>
    <row r="391" spans="3:18" ht="16.5">
      <c r="C391" s="37"/>
      <c r="F391" s="37"/>
      <c r="I391" s="37"/>
      <c r="L391" s="37"/>
      <c r="O391" s="37"/>
      <c r="R391" s="37"/>
    </row>
    <row r="392" spans="3:18" ht="16.5">
      <c r="C392" s="37"/>
      <c r="F392" s="37"/>
      <c r="I392" s="37"/>
      <c r="L392" s="37"/>
      <c r="O392" s="37"/>
      <c r="R392" s="37"/>
    </row>
    <row r="393" spans="3:18" ht="16.5">
      <c r="C393" s="37"/>
      <c r="F393" s="37"/>
      <c r="I393" s="37"/>
      <c r="L393" s="37"/>
      <c r="O393" s="37"/>
      <c r="R393" s="37"/>
    </row>
    <row r="394" spans="3:18" ht="16.5">
      <c r="C394" s="37"/>
      <c r="F394" s="37"/>
      <c r="I394" s="37"/>
      <c r="L394" s="37"/>
      <c r="O394" s="37"/>
      <c r="R394" s="37"/>
    </row>
    <row r="395" spans="3:18" ht="16.5">
      <c r="C395" s="37"/>
      <c r="F395" s="37"/>
      <c r="I395" s="37"/>
      <c r="L395" s="37"/>
      <c r="O395" s="37"/>
      <c r="R395" s="37"/>
    </row>
    <row r="396" spans="3:18" ht="16.5">
      <c r="C396" s="37"/>
      <c r="F396" s="37"/>
      <c r="I396" s="37"/>
      <c r="L396" s="37"/>
      <c r="O396" s="37"/>
      <c r="R396" s="37"/>
    </row>
    <row r="397" spans="3:18" ht="16.5">
      <c r="C397" s="37"/>
      <c r="F397" s="37"/>
      <c r="I397" s="37"/>
      <c r="L397" s="37"/>
      <c r="O397" s="37"/>
      <c r="R397" s="37"/>
    </row>
    <row r="398" spans="3:18" ht="16.5">
      <c r="C398" s="37"/>
      <c r="F398" s="37"/>
      <c r="I398" s="37"/>
      <c r="L398" s="37"/>
      <c r="O398" s="37"/>
      <c r="R398" s="37"/>
    </row>
    <row r="399" spans="3:18" ht="16.5">
      <c r="C399" s="37"/>
      <c r="F399" s="37"/>
      <c r="I399" s="37"/>
      <c r="L399" s="37"/>
      <c r="O399" s="37"/>
      <c r="R399" s="37"/>
    </row>
    <row r="400" spans="3:18" ht="16.5">
      <c r="C400" s="37"/>
      <c r="F400" s="37"/>
      <c r="I400" s="37"/>
      <c r="L400" s="37"/>
      <c r="O400" s="37"/>
      <c r="R400" s="37"/>
    </row>
    <row r="401" spans="3:18" ht="16.5">
      <c r="C401" s="37"/>
      <c r="F401" s="37"/>
      <c r="I401" s="37"/>
      <c r="L401" s="37"/>
      <c r="O401" s="37"/>
      <c r="R401" s="37"/>
    </row>
    <row r="402" spans="3:18" ht="16.5">
      <c r="C402" s="37"/>
      <c r="F402" s="37"/>
      <c r="I402" s="37"/>
      <c r="L402" s="37"/>
      <c r="O402" s="37"/>
      <c r="R402" s="37"/>
    </row>
    <row r="403" spans="3:18" ht="16.5">
      <c r="C403" s="37"/>
      <c r="F403" s="37"/>
      <c r="I403" s="37"/>
      <c r="L403" s="37"/>
      <c r="O403" s="37"/>
      <c r="R403" s="37"/>
    </row>
    <row r="404" spans="3:18" ht="16.5">
      <c r="C404" s="37"/>
      <c r="F404" s="37"/>
      <c r="I404" s="37"/>
      <c r="L404" s="37"/>
      <c r="O404" s="37"/>
      <c r="R404" s="37"/>
    </row>
    <row r="405" spans="3:18" ht="16.5">
      <c r="C405" s="37"/>
      <c r="F405" s="37"/>
      <c r="I405" s="37"/>
      <c r="L405" s="37"/>
      <c r="O405" s="37"/>
      <c r="R405" s="37"/>
    </row>
    <row r="406" spans="3:18" ht="16.5">
      <c r="C406" s="37"/>
      <c r="F406" s="37"/>
      <c r="I406" s="37"/>
      <c r="L406" s="37"/>
      <c r="O406" s="37"/>
      <c r="R406" s="37"/>
    </row>
    <row r="407" spans="3:18" ht="16.5">
      <c r="C407" s="37"/>
      <c r="F407" s="37"/>
      <c r="I407" s="37"/>
      <c r="L407" s="37"/>
      <c r="O407" s="37"/>
      <c r="R407" s="37"/>
    </row>
    <row r="408" spans="3:18" ht="16.5">
      <c r="C408" s="37"/>
      <c r="F408" s="37"/>
      <c r="I408" s="37"/>
      <c r="L408" s="37"/>
      <c r="O408" s="37"/>
      <c r="R408" s="37"/>
    </row>
    <row r="409" spans="3:18" ht="16.5">
      <c r="C409" s="37"/>
      <c r="F409" s="37"/>
      <c r="I409" s="37"/>
      <c r="L409" s="37"/>
      <c r="O409" s="37"/>
      <c r="R409" s="37"/>
    </row>
    <row r="410" spans="3:18" ht="16.5">
      <c r="C410" s="37"/>
      <c r="F410" s="37"/>
      <c r="I410" s="37"/>
      <c r="L410" s="37"/>
      <c r="O410" s="37"/>
      <c r="R410" s="37"/>
    </row>
    <row r="411" spans="3:18" ht="16.5">
      <c r="C411" s="37"/>
      <c r="F411" s="37"/>
      <c r="I411" s="37"/>
      <c r="L411" s="37"/>
      <c r="O411" s="37"/>
      <c r="R411" s="37"/>
    </row>
    <row r="412" spans="3:18" ht="16.5">
      <c r="C412" s="37"/>
      <c r="F412" s="37"/>
      <c r="I412" s="37"/>
      <c r="L412" s="37"/>
      <c r="O412" s="37"/>
      <c r="R412" s="37"/>
    </row>
    <row r="413" spans="3:18" ht="16.5">
      <c r="C413" s="37"/>
      <c r="F413" s="37"/>
      <c r="I413" s="37"/>
      <c r="L413" s="37"/>
      <c r="O413" s="37"/>
      <c r="R413" s="37"/>
    </row>
    <row r="414" spans="3:18" ht="16.5">
      <c r="C414" s="37"/>
      <c r="F414" s="37"/>
      <c r="I414" s="37"/>
      <c r="L414" s="37"/>
      <c r="O414" s="37"/>
      <c r="R414" s="37"/>
    </row>
    <row r="415" spans="3:18" ht="16.5">
      <c r="C415" s="37"/>
      <c r="F415" s="37"/>
      <c r="I415" s="37"/>
      <c r="L415" s="37"/>
      <c r="O415" s="37"/>
      <c r="R415" s="37"/>
    </row>
    <row r="416" spans="3:18" ht="16.5">
      <c r="C416" s="37"/>
      <c r="F416" s="37"/>
      <c r="I416" s="37"/>
      <c r="L416" s="37"/>
      <c r="O416" s="37"/>
      <c r="R416" s="37"/>
    </row>
    <row r="417" spans="3:18" ht="16.5">
      <c r="C417" s="37"/>
      <c r="F417" s="37"/>
      <c r="I417" s="37"/>
      <c r="L417" s="37"/>
      <c r="O417" s="37"/>
      <c r="R417" s="37"/>
    </row>
    <row r="418" spans="3:18" ht="16.5">
      <c r="C418" s="37"/>
      <c r="F418" s="37"/>
      <c r="I418" s="37"/>
      <c r="L418" s="37"/>
      <c r="O418" s="37"/>
      <c r="R418" s="37"/>
    </row>
    <row r="419" spans="3:18" ht="16.5">
      <c r="C419" s="37"/>
      <c r="F419" s="37"/>
      <c r="I419" s="37"/>
      <c r="L419" s="37"/>
      <c r="O419" s="37"/>
      <c r="R419" s="37"/>
    </row>
    <row r="420" spans="3:18" ht="16.5">
      <c r="C420" s="37"/>
      <c r="F420" s="37"/>
      <c r="I420" s="37"/>
      <c r="L420" s="37"/>
      <c r="O420" s="37"/>
      <c r="R420" s="37"/>
    </row>
    <row r="421" spans="3:18" ht="16.5">
      <c r="C421" s="37"/>
      <c r="F421" s="37"/>
      <c r="I421" s="37"/>
      <c r="L421" s="37"/>
      <c r="O421" s="37"/>
      <c r="R421" s="37"/>
    </row>
    <row r="422" spans="3:18" ht="16.5">
      <c r="C422" s="37"/>
      <c r="F422" s="37"/>
      <c r="I422" s="37"/>
      <c r="L422" s="37"/>
      <c r="O422" s="37"/>
      <c r="R422" s="37"/>
    </row>
    <row r="423" spans="3:18" ht="16.5">
      <c r="C423" s="37"/>
      <c r="F423" s="37"/>
      <c r="I423" s="37"/>
      <c r="L423" s="37"/>
      <c r="O423" s="37"/>
      <c r="R423" s="37"/>
    </row>
    <row r="424" spans="3:18" ht="16.5">
      <c r="C424" s="37"/>
      <c r="F424" s="37"/>
      <c r="I424" s="37"/>
      <c r="L424" s="37"/>
      <c r="O424" s="37"/>
      <c r="R424" s="37"/>
    </row>
    <row r="425" spans="3:18" ht="16.5">
      <c r="C425" s="37"/>
      <c r="F425" s="37"/>
      <c r="I425" s="37"/>
      <c r="L425" s="37"/>
      <c r="O425" s="37"/>
      <c r="R425" s="37"/>
    </row>
    <row r="426" spans="3:18" ht="16.5">
      <c r="C426" s="37"/>
      <c r="F426" s="37"/>
      <c r="I426" s="37"/>
      <c r="L426" s="37"/>
      <c r="O426" s="37"/>
      <c r="R426" s="37"/>
    </row>
    <row r="427" spans="3:18" ht="16.5">
      <c r="C427" s="37"/>
      <c r="F427" s="37"/>
      <c r="I427" s="37"/>
      <c r="L427" s="37"/>
      <c r="O427" s="37"/>
      <c r="R427" s="37"/>
    </row>
    <row r="428" spans="3:18" ht="16.5">
      <c r="C428" s="37"/>
      <c r="F428" s="37"/>
      <c r="I428" s="37"/>
      <c r="L428" s="37"/>
      <c r="O428" s="37"/>
      <c r="R428" s="37"/>
    </row>
    <row r="429" spans="3:18" ht="16.5">
      <c r="C429" s="37"/>
      <c r="F429" s="37"/>
      <c r="I429" s="37"/>
      <c r="L429" s="37"/>
      <c r="O429" s="37"/>
      <c r="R429" s="37"/>
    </row>
    <row r="430" spans="3:18" ht="16.5">
      <c r="C430" s="37"/>
      <c r="F430" s="37"/>
      <c r="I430" s="37"/>
      <c r="L430" s="37"/>
      <c r="O430" s="37"/>
      <c r="R430" s="37"/>
    </row>
    <row r="431" spans="3:18" ht="16.5">
      <c r="C431" s="37"/>
      <c r="F431" s="37"/>
      <c r="I431" s="37"/>
      <c r="L431" s="37"/>
      <c r="O431" s="37"/>
      <c r="R431" s="37"/>
    </row>
    <row r="432" spans="3:18" ht="16.5">
      <c r="C432" s="37"/>
      <c r="F432" s="37"/>
      <c r="I432" s="37"/>
      <c r="L432" s="37"/>
      <c r="O432" s="37"/>
      <c r="R432" s="37"/>
    </row>
    <row r="433" spans="3:18" ht="16.5">
      <c r="C433" s="37"/>
      <c r="F433" s="37"/>
      <c r="I433" s="37"/>
      <c r="L433" s="37"/>
      <c r="O433" s="37"/>
      <c r="R433" s="37"/>
    </row>
    <row r="434" spans="3:18" ht="16.5">
      <c r="C434" s="37"/>
      <c r="F434" s="37"/>
      <c r="I434" s="37"/>
      <c r="L434" s="37"/>
      <c r="O434" s="37"/>
      <c r="R434" s="37"/>
    </row>
    <row r="435" spans="3:18" ht="16.5">
      <c r="C435" s="37"/>
      <c r="F435" s="37"/>
      <c r="I435" s="37"/>
      <c r="L435" s="37"/>
      <c r="O435" s="37"/>
      <c r="R435" s="37"/>
    </row>
    <row r="436" spans="3:18" ht="16.5">
      <c r="C436" s="37"/>
      <c r="F436" s="37"/>
      <c r="I436" s="37"/>
      <c r="L436" s="37"/>
      <c r="O436" s="37"/>
      <c r="R436" s="37"/>
    </row>
    <row r="437" spans="3:18" ht="16.5">
      <c r="C437" s="37"/>
      <c r="F437" s="37"/>
      <c r="I437" s="37"/>
      <c r="L437" s="37"/>
      <c r="O437" s="37"/>
      <c r="R437" s="37"/>
    </row>
    <row r="438" spans="3:18" ht="16.5">
      <c r="C438" s="37"/>
      <c r="F438" s="37"/>
      <c r="I438" s="37"/>
      <c r="L438" s="37"/>
      <c r="O438" s="37"/>
      <c r="R438" s="37"/>
    </row>
    <row r="439" spans="3:18" ht="16.5">
      <c r="C439" s="37"/>
      <c r="F439" s="37"/>
      <c r="I439" s="37"/>
      <c r="L439" s="37"/>
      <c r="O439" s="37"/>
      <c r="R439" s="37"/>
    </row>
    <row r="440" spans="3:18" ht="16.5">
      <c r="C440" s="37"/>
      <c r="F440" s="37"/>
      <c r="I440" s="37"/>
      <c r="L440" s="37"/>
      <c r="O440" s="37"/>
      <c r="R440" s="37"/>
    </row>
    <row r="441" spans="3:18" ht="16.5">
      <c r="C441" s="37"/>
      <c r="F441" s="37"/>
      <c r="I441" s="37"/>
      <c r="L441" s="37"/>
      <c r="O441" s="37"/>
      <c r="R441" s="37"/>
    </row>
    <row r="442" spans="3:18" ht="16.5">
      <c r="C442" s="37"/>
      <c r="F442" s="37"/>
      <c r="I442" s="37"/>
      <c r="L442" s="37"/>
      <c r="O442" s="37"/>
      <c r="R442" s="37"/>
    </row>
    <row r="443" spans="3:18" ht="16.5">
      <c r="C443" s="37"/>
      <c r="F443" s="37"/>
      <c r="I443" s="37"/>
      <c r="L443" s="37"/>
      <c r="O443" s="37"/>
      <c r="R443" s="37"/>
    </row>
    <row r="444" spans="3:18" ht="16.5">
      <c r="C444" s="37"/>
      <c r="F444" s="37"/>
      <c r="I444" s="37"/>
      <c r="L444" s="37"/>
      <c r="O444" s="37"/>
      <c r="R444" s="37"/>
    </row>
    <row r="445" spans="3:18" ht="16.5">
      <c r="C445" s="37"/>
      <c r="F445" s="37"/>
      <c r="I445" s="37"/>
      <c r="L445" s="37"/>
      <c r="O445" s="37"/>
      <c r="R445" s="37"/>
    </row>
    <row r="446" spans="3:18" ht="16.5">
      <c r="C446" s="37"/>
      <c r="F446" s="37"/>
      <c r="I446" s="37"/>
      <c r="L446" s="37"/>
      <c r="O446" s="37"/>
      <c r="R446" s="37"/>
    </row>
    <row r="447" spans="3:18" ht="16.5">
      <c r="C447" s="37"/>
      <c r="F447" s="37"/>
      <c r="I447" s="37"/>
      <c r="L447" s="37"/>
      <c r="O447" s="37"/>
      <c r="R447" s="37"/>
    </row>
    <row r="448" spans="3:18" ht="16.5">
      <c r="C448" s="37"/>
      <c r="F448" s="37"/>
      <c r="I448" s="37"/>
      <c r="L448" s="37"/>
      <c r="O448" s="37"/>
      <c r="R448" s="37"/>
    </row>
    <row r="449" spans="3:18" ht="16.5">
      <c r="C449" s="37"/>
      <c r="F449" s="37"/>
      <c r="I449" s="37"/>
      <c r="L449" s="37"/>
      <c r="O449" s="37"/>
      <c r="R449" s="37"/>
    </row>
    <row r="450" spans="3:18" ht="16.5">
      <c r="C450" s="37"/>
      <c r="F450" s="37"/>
      <c r="I450" s="37"/>
      <c r="L450" s="37"/>
      <c r="O450" s="37"/>
      <c r="R450" s="37"/>
    </row>
    <row r="451" spans="3:18" ht="16.5">
      <c r="C451" s="37"/>
      <c r="F451" s="37"/>
      <c r="I451" s="37"/>
      <c r="L451" s="37"/>
      <c r="O451" s="37"/>
      <c r="R451" s="37"/>
    </row>
    <row r="452" spans="3:18" ht="16.5">
      <c r="C452" s="37"/>
      <c r="F452" s="37"/>
      <c r="I452" s="37"/>
      <c r="L452" s="37"/>
      <c r="O452" s="37"/>
      <c r="R452" s="37"/>
    </row>
    <row r="453" spans="3:18" ht="16.5">
      <c r="C453" s="37"/>
      <c r="F453" s="37"/>
      <c r="I453" s="37"/>
      <c r="L453" s="37"/>
      <c r="O453" s="37"/>
      <c r="R453" s="37"/>
    </row>
    <row r="454" spans="3:18" ht="16.5">
      <c r="C454" s="37"/>
      <c r="F454" s="37"/>
      <c r="I454" s="37"/>
      <c r="L454" s="37"/>
      <c r="O454" s="37"/>
      <c r="R454" s="37"/>
    </row>
    <row r="455" spans="3:18" ht="16.5">
      <c r="C455" s="37"/>
      <c r="F455" s="37"/>
      <c r="I455" s="37"/>
      <c r="L455" s="37"/>
      <c r="O455" s="37"/>
      <c r="R455" s="37"/>
    </row>
    <row r="456" spans="3:18" ht="16.5">
      <c r="C456" s="37"/>
      <c r="F456" s="37"/>
      <c r="I456" s="37"/>
      <c r="L456" s="37"/>
      <c r="O456" s="37"/>
      <c r="R456" s="37"/>
    </row>
    <row r="457" spans="3:18" ht="16.5">
      <c r="C457" s="37"/>
      <c r="F457" s="37"/>
      <c r="I457" s="37"/>
      <c r="L457" s="37"/>
      <c r="O457" s="37"/>
      <c r="R457" s="37"/>
    </row>
    <row r="458" spans="3:18" ht="16.5">
      <c r="C458" s="37"/>
      <c r="F458" s="37"/>
      <c r="I458" s="37"/>
      <c r="L458" s="37"/>
      <c r="O458" s="37"/>
      <c r="R458" s="37"/>
    </row>
    <row r="459" spans="3:18" ht="16.5">
      <c r="C459" s="37"/>
      <c r="F459" s="37"/>
      <c r="I459" s="37"/>
      <c r="L459" s="37"/>
      <c r="O459" s="37"/>
      <c r="R459" s="37"/>
    </row>
    <row r="460" spans="3:18" ht="16.5">
      <c r="C460" s="37"/>
      <c r="F460" s="37"/>
      <c r="I460" s="37"/>
      <c r="L460" s="37"/>
      <c r="O460" s="37"/>
      <c r="R460" s="37"/>
    </row>
    <row r="461" spans="3:18" ht="16.5">
      <c r="C461" s="37"/>
      <c r="F461" s="37"/>
      <c r="I461" s="37"/>
      <c r="L461" s="37"/>
      <c r="O461" s="37"/>
      <c r="R461" s="37"/>
    </row>
    <row r="462" spans="3:18" ht="16.5">
      <c r="C462" s="37"/>
      <c r="F462" s="37"/>
      <c r="I462" s="37"/>
      <c r="L462" s="37"/>
      <c r="O462" s="37"/>
      <c r="R462" s="37"/>
    </row>
    <row r="463" spans="3:18" ht="16.5">
      <c r="C463" s="37"/>
      <c r="F463" s="37"/>
      <c r="I463" s="37"/>
      <c r="L463" s="37"/>
      <c r="O463" s="37"/>
      <c r="R463" s="37"/>
    </row>
    <row r="464" spans="3:18" ht="16.5">
      <c r="C464" s="37"/>
      <c r="F464" s="37"/>
      <c r="I464" s="37"/>
      <c r="L464" s="37"/>
      <c r="O464" s="37"/>
      <c r="R464" s="37"/>
    </row>
    <row r="465" spans="3:18" ht="16.5">
      <c r="C465" s="37"/>
      <c r="F465" s="37"/>
      <c r="I465" s="37"/>
      <c r="L465" s="37"/>
      <c r="O465" s="37"/>
      <c r="R465" s="37"/>
    </row>
    <row r="466" spans="3:18" ht="16.5">
      <c r="C466" s="37"/>
      <c r="F466" s="37"/>
      <c r="I466" s="37"/>
      <c r="L466" s="37"/>
      <c r="O466" s="37"/>
      <c r="R466" s="37"/>
    </row>
    <row r="467" spans="3:18" ht="16.5">
      <c r="C467" s="37"/>
      <c r="F467" s="37"/>
      <c r="I467" s="37"/>
      <c r="L467" s="37"/>
      <c r="O467" s="37"/>
      <c r="R467" s="37"/>
    </row>
    <row r="468" spans="3:18" ht="16.5">
      <c r="C468" s="37"/>
      <c r="F468" s="37"/>
      <c r="I468" s="37"/>
      <c r="L468" s="37"/>
      <c r="O468" s="37"/>
      <c r="R468" s="37"/>
    </row>
    <row r="469" spans="3:18" ht="16.5">
      <c r="C469" s="37"/>
      <c r="F469" s="37"/>
      <c r="I469" s="37"/>
      <c r="L469" s="37"/>
      <c r="O469" s="37"/>
      <c r="R469" s="37"/>
    </row>
    <row r="470" spans="3:18" ht="16.5">
      <c r="C470" s="37"/>
      <c r="F470" s="37"/>
      <c r="I470" s="37"/>
      <c r="L470" s="37"/>
      <c r="O470" s="37"/>
      <c r="R470" s="37"/>
    </row>
    <row r="471" spans="3:18" ht="16.5">
      <c r="C471" s="37"/>
      <c r="F471" s="37"/>
      <c r="I471" s="37"/>
      <c r="L471" s="37"/>
      <c r="O471" s="37"/>
      <c r="R471" s="37"/>
    </row>
    <row r="472" spans="3:18" ht="16.5">
      <c r="C472" s="37"/>
      <c r="F472" s="37"/>
      <c r="I472" s="37"/>
      <c r="L472" s="37"/>
      <c r="O472" s="37"/>
      <c r="R472" s="37"/>
    </row>
    <row r="473" spans="3:18" ht="16.5">
      <c r="C473" s="37"/>
      <c r="F473" s="37"/>
      <c r="I473" s="37"/>
      <c r="L473" s="37"/>
      <c r="O473" s="37"/>
      <c r="R473" s="37"/>
    </row>
    <row r="474" spans="3:18" ht="16.5">
      <c r="C474" s="37"/>
      <c r="F474" s="37"/>
      <c r="I474" s="37"/>
      <c r="L474" s="37"/>
      <c r="O474" s="37"/>
      <c r="R474" s="37"/>
    </row>
    <row r="475" spans="3:18" ht="16.5">
      <c r="C475" s="37"/>
      <c r="F475" s="37"/>
      <c r="I475" s="37"/>
      <c r="L475" s="37"/>
      <c r="O475" s="37"/>
      <c r="R475" s="37"/>
    </row>
    <row r="476" spans="3:18" ht="16.5">
      <c r="C476" s="37"/>
      <c r="F476" s="37"/>
      <c r="I476" s="37"/>
      <c r="L476" s="37"/>
      <c r="O476" s="37"/>
      <c r="R476" s="37"/>
    </row>
    <row r="477" spans="3:18" ht="16.5">
      <c r="C477" s="37"/>
      <c r="F477" s="37"/>
      <c r="I477" s="37"/>
      <c r="L477" s="37"/>
      <c r="O477" s="37"/>
      <c r="R477" s="37"/>
    </row>
    <row r="478" spans="3:18" ht="16.5">
      <c r="C478" s="37"/>
      <c r="F478" s="37"/>
      <c r="I478" s="37"/>
      <c r="L478" s="37"/>
      <c r="O478" s="37"/>
      <c r="R478" s="37"/>
    </row>
    <row r="479" spans="3:18" ht="16.5">
      <c r="C479" s="37"/>
      <c r="F479" s="37"/>
      <c r="I479" s="37"/>
      <c r="L479" s="37"/>
      <c r="O479" s="37"/>
      <c r="R479" s="37"/>
    </row>
    <row r="480" spans="3:18" ht="16.5">
      <c r="C480" s="37"/>
      <c r="F480" s="37"/>
      <c r="I480" s="37"/>
      <c r="L480" s="37"/>
      <c r="O480" s="37"/>
      <c r="R480" s="37"/>
    </row>
    <row r="481" spans="3:18" ht="16.5">
      <c r="C481" s="37"/>
      <c r="F481" s="37"/>
      <c r="I481" s="37"/>
      <c r="L481" s="37"/>
      <c r="O481" s="37"/>
      <c r="R481" s="37"/>
    </row>
    <row r="482" spans="3:18" ht="16.5">
      <c r="C482" s="37"/>
      <c r="F482" s="37"/>
      <c r="I482" s="37"/>
      <c r="L482" s="37"/>
      <c r="O482" s="37"/>
      <c r="R482" s="37"/>
    </row>
    <row r="483" spans="3:18" ht="16.5">
      <c r="C483" s="37"/>
      <c r="F483" s="37"/>
      <c r="I483" s="37"/>
      <c r="L483" s="37"/>
      <c r="O483" s="37"/>
      <c r="R483" s="37"/>
    </row>
    <row r="484" spans="3:18" ht="16.5">
      <c r="C484" s="37"/>
      <c r="F484" s="37"/>
      <c r="I484" s="37"/>
      <c r="L484" s="37"/>
      <c r="O484" s="37"/>
      <c r="R484" s="37"/>
    </row>
    <row r="485" spans="3:18" ht="16.5">
      <c r="C485" s="37"/>
      <c r="F485" s="37"/>
      <c r="I485" s="37"/>
      <c r="L485" s="37"/>
      <c r="O485" s="37"/>
      <c r="R485" s="37"/>
    </row>
    <row r="486" spans="3:18" ht="16.5">
      <c r="C486" s="37"/>
      <c r="F486" s="37"/>
      <c r="I486" s="37"/>
      <c r="L486" s="37"/>
      <c r="O486" s="37"/>
      <c r="R486" s="37"/>
    </row>
    <row r="487" spans="3:18" ht="16.5">
      <c r="C487" s="37"/>
      <c r="F487" s="37"/>
      <c r="I487" s="37"/>
      <c r="L487" s="37"/>
      <c r="O487" s="37"/>
      <c r="R487" s="37"/>
    </row>
    <row r="488" spans="3:18" ht="16.5">
      <c r="C488" s="37"/>
      <c r="F488" s="37"/>
      <c r="I488" s="37"/>
      <c r="L488" s="37"/>
      <c r="O488" s="37"/>
      <c r="R488" s="37"/>
    </row>
    <row r="489" spans="3:18" ht="16.5">
      <c r="C489" s="37"/>
      <c r="F489" s="37"/>
      <c r="I489" s="37"/>
      <c r="L489" s="37"/>
      <c r="O489" s="37"/>
      <c r="R489" s="37"/>
    </row>
    <row r="490" spans="3:18" ht="16.5">
      <c r="C490" s="37"/>
      <c r="F490" s="37"/>
      <c r="I490" s="37"/>
      <c r="L490" s="37"/>
      <c r="O490" s="37"/>
      <c r="R490" s="37"/>
    </row>
    <row r="491" spans="3:18" ht="16.5">
      <c r="C491" s="37"/>
      <c r="F491" s="37"/>
      <c r="I491" s="37"/>
      <c r="L491" s="37"/>
      <c r="O491" s="37"/>
      <c r="R491" s="37"/>
    </row>
    <row r="492" spans="3:18" ht="16.5">
      <c r="C492" s="37"/>
      <c r="F492" s="37"/>
      <c r="I492" s="37"/>
      <c r="L492" s="37"/>
      <c r="O492" s="37"/>
      <c r="R492" s="37"/>
    </row>
    <row r="493" spans="3:18" ht="16.5">
      <c r="C493" s="37"/>
      <c r="F493" s="37"/>
      <c r="I493" s="37"/>
      <c r="L493" s="37"/>
      <c r="O493" s="37"/>
      <c r="R493" s="37"/>
    </row>
    <row r="494" spans="3:18" ht="16.5">
      <c r="C494" s="37"/>
      <c r="F494" s="37"/>
      <c r="I494" s="37"/>
      <c r="L494" s="37"/>
      <c r="O494" s="37"/>
      <c r="R494" s="37"/>
    </row>
    <row r="495" spans="3:18" ht="16.5">
      <c r="C495" s="37"/>
      <c r="F495" s="37"/>
      <c r="I495" s="37"/>
      <c r="L495" s="37"/>
      <c r="O495" s="37"/>
      <c r="R495" s="37"/>
    </row>
    <row r="496" spans="3:18" ht="16.5">
      <c r="C496" s="37"/>
      <c r="F496" s="37"/>
      <c r="I496" s="37"/>
      <c r="L496" s="37"/>
      <c r="O496" s="37"/>
      <c r="R496" s="37"/>
    </row>
    <row r="497" spans="3:18" ht="16.5">
      <c r="C497" s="37"/>
      <c r="F497" s="37"/>
      <c r="I497" s="37"/>
      <c r="L497" s="37"/>
      <c r="O497" s="37"/>
      <c r="R497" s="37"/>
    </row>
    <row r="498" spans="3:18" ht="16.5">
      <c r="C498" s="37"/>
      <c r="F498" s="37"/>
      <c r="I498" s="37"/>
      <c r="L498" s="37"/>
      <c r="O498" s="37"/>
      <c r="R498" s="37"/>
    </row>
    <row r="499" spans="3:18" ht="16.5">
      <c r="C499" s="37"/>
      <c r="F499" s="37"/>
      <c r="I499" s="37"/>
      <c r="L499" s="37"/>
      <c r="O499" s="37"/>
      <c r="R499" s="37"/>
    </row>
    <row r="500" spans="3:18" ht="16.5">
      <c r="C500" s="37"/>
      <c r="F500" s="37"/>
      <c r="I500" s="37"/>
      <c r="L500" s="37"/>
      <c r="O500" s="37"/>
      <c r="R500" s="37"/>
    </row>
    <row r="501" spans="3:18" ht="16.5">
      <c r="C501" s="37"/>
      <c r="F501" s="37"/>
      <c r="I501" s="37"/>
      <c r="L501" s="37"/>
      <c r="O501" s="37"/>
      <c r="R501" s="37"/>
    </row>
    <row r="502" spans="3:18" ht="16.5">
      <c r="C502" s="37"/>
      <c r="F502" s="37"/>
      <c r="I502" s="37"/>
      <c r="L502" s="37"/>
      <c r="O502" s="37"/>
      <c r="R502" s="37"/>
    </row>
    <row r="503" spans="3:18" ht="16.5">
      <c r="C503" s="37"/>
      <c r="F503" s="37"/>
      <c r="I503" s="37"/>
      <c r="L503" s="37"/>
      <c r="O503" s="37"/>
      <c r="R503" s="37"/>
    </row>
    <row r="504" spans="3:18" ht="16.5">
      <c r="C504" s="37"/>
      <c r="F504" s="37"/>
      <c r="I504" s="37"/>
      <c r="L504" s="37"/>
      <c r="O504" s="37"/>
      <c r="R504" s="37"/>
    </row>
    <row r="505" spans="3:18" ht="16.5">
      <c r="C505" s="37"/>
      <c r="F505" s="37"/>
      <c r="I505" s="37"/>
      <c r="L505" s="37"/>
      <c r="O505" s="37"/>
      <c r="R505" s="37"/>
    </row>
    <row r="506" spans="3:18" ht="16.5">
      <c r="C506" s="37"/>
      <c r="F506" s="37"/>
      <c r="I506" s="37"/>
      <c r="L506" s="37"/>
      <c r="O506" s="37"/>
      <c r="R506" s="37"/>
    </row>
    <row r="507" spans="3:18" ht="16.5">
      <c r="C507" s="37"/>
      <c r="F507" s="37"/>
      <c r="I507" s="37"/>
      <c r="L507" s="37"/>
      <c r="O507" s="37"/>
      <c r="R507" s="37"/>
    </row>
    <row r="508" spans="3:18" ht="16.5">
      <c r="C508" s="37"/>
      <c r="F508" s="37"/>
      <c r="I508" s="37"/>
      <c r="L508" s="37"/>
      <c r="O508" s="37"/>
      <c r="R508" s="37"/>
    </row>
    <row r="509" spans="3:18" ht="16.5">
      <c r="C509" s="37"/>
      <c r="F509" s="37"/>
      <c r="I509" s="37"/>
      <c r="L509" s="37"/>
      <c r="O509" s="37"/>
      <c r="R509" s="37"/>
    </row>
    <row r="510" spans="3:18" ht="16.5">
      <c r="C510" s="37"/>
      <c r="F510" s="37"/>
      <c r="I510" s="37"/>
      <c r="L510" s="37"/>
      <c r="O510" s="37"/>
      <c r="R510" s="37"/>
    </row>
    <row r="511" spans="3:18" ht="16.5">
      <c r="C511" s="37"/>
      <c r="F511" s="37"/>
      <c r="I511" s="37"/>
      <c r="L511" s="37"/>
      <c r="O511" s="37"/>
      <c r="R511" s="37"/>
    </row>
    <row r="512" spans="3:18" ht="16.5">
      <c r="C512" s="37"/>
      <c r="F512" s="37"/>
      <c r="I512" s="37"/>
      <c r="L512" s="37"/>
      <c r="O512" s="37"/>
      <c r="R512" s="37"/>
    </row>
    <row r="513" spans="3:18" ht="16.5">
      <c r="C513" s="37"/>
      <c r="F513" s="37"/>
      <c r="I513" s="37"/>
      <c r="L513" s="37"/>
      <c r="O513" s="37"/>
      <c r="R513" s="37"/>
    </row>
    <row r="514" spans="3:18" ht="16.5">
      <c r="C514" s="37"/>
      <c r="F514" s="37"/>
      <c r="I514" s="37"/>
      <c r="L514" s="37"/>
      <c r="O514" s="37"/>
      <c r="R514" s="37"/>
    </row>
    <row r="515" spans="3:18" ht="16.5">
      <c r="C515" s="37"/>
      <c r="F515" s="37"/>
      <c r="I515" s="37"/>
      <c r="L515" s="37"/>
      <c r="O515" s="37"/>
      <c r="R515" s="37"/>
    </row>
    <row r="516" spans="3:18" ht="16.5">
      <c r="C516" s="37"/>
      <c r="F516" s="37"/>
      <c r="I516" s="37"/>
      <c r="L516" s="37"/>
      <c r="O516" s="37"/>
      <c r="R516" s="37"/>
    </row>
    <row r="517" spans="3:18" ht="16.5">
      <c r="C517" s="37"/>
      <c r="F517" s="37"/>
      <c r="I517" s="37"/>
      <c r="L517" s="37"/>
      <c r="O517" s="37"/>
      <c r="R517" s="37"/>
    </row>
    <row r="518" spans="3:18" ht="16.5">
      <c r="C518" s="37"/>
      <c r="F518" s="37"/>
      <c r="I518" s="37"/>
      <c r="L518" s="37"/>
      <c r="O518" s="37"/>
      <c r="R518" s="37"/>
    </row>
    <row r="519" spans="3:18" ht="16.5">
      <c r="C519" s="37"/>
      <c r="F519" s="37"/>
      <c r="I519" s="37"/>
      <c r="L519" s="37"/>
      <c r="O519" s="37"/>
      <c r="R519" s="37"/>
    </row>
    <row r="520" spans="3:18" ht="16.5">
      <c r="C520" s="37"/>
      <c r="F520" s="37"/>
      <c r="I520" s="37"/>
      <c r="L520" s="37"/>
      <c r="O520" s="37"/>
      <c r="R520" s="37"/>
    </row>
    <row r="521" spans="3:18" ht="16.5">
      <c r="C521" s="37"/>
      <c r="F521" s="37"/>
      <c r="I521" s="37"/>
      <c r="L521" s="37"/>
      <c r="O521" s="37"/>
      <c r="R521" s="37"/>
    </row>
    <row r="522" spans="3:18" ht="16.5">
      <c r="C522" s="37"/>
      <c r="F522" s="37"/>
      <c r="I522" s="37"/>
      <c r="L522" s="37"/>
      <c r="O522" s="37"/>
      <c r="R522" s="37"/>
    </row>
    <row r="523" spans="3:18" ht="16.5">
      <c r="C523" s="37"/>
      <c r="F523" s="37"/>
      <c r="I523" s="37"/>
      <c r="L523" s="37"/>
      <c r="O523" s="37"/>
      <c r="R523" s="37"/>
    </row>
    <row r="524" spans="3:18" ht="16.5">
      <c r="C524" s="37"/>
      <c r="F524" s="37"/>
      <c r="I524" s="37"/>
      <c r="L524" s="37"/>
      <c r="O524" s="37"/>
      <c r="R524" s="37"/>
    </row>
    <row r="525" spans="3:18" ht="16.5">
      <c r="C525" s="37"/>
      <c r="F525" s="37"/>
      <c r="I525" s="37"/>
      <c r="L525" s="37"/>
      <c r="O525" s="37"/>
      <c r="R525" s="37"/>
    </row>
    <row r="526" spans="3:18" ht="16.5">
      <c r="C526" s="37"/>
      <c r="F526" s="37"/>
      <c r="I526" s="37"/>
      <c r="L526" s="37"/>
      <c r="O526" s="37"/>
      <c r="R526" s="37"/>
    </row>
    <row r="527" spans="3:18" ht="16.5">
      <c r="C527" s="37"/>
      <c r="F527" s="37"/>
      <c r="I527" s="37"/>
      <c r="L527" s="37"/>
      <c r="O527" s="37"/>
      <c r="R527" s="37"/>
    </row>
    <row r="528" spans="3:18" ht="16.5">
      <c r="C528" s="37"/>
      <c r="F528" s="37"/>
      <c r="I528" s="37"/>
      <c r="L528" s="37"/>
      <c r="O528" s="37"/>
      <c r="R528" s="37"/>
    </row>
    <row r="529" spans="3:18" ht="16.5">
      <c r="C529" s="37"/>
      <c r="F529" s="37"/>
      <c r="I529" s="37"/>
      <c r="L529" s="37"/>
      <c r="O529" s="37"/>
      <c r="R529" s="37"/>
    </row>
    <row r="530" spans="3:18" ht="16.5">
      <c r="C530" s="37"/>
      <c r="F530" s="37"/>
      <c r="I530" s="37"/>
      <c r="L530" s="37"/>
      <c r="O530" s="37"/>
      <c r="R530" s="37"/>
    </row>
    <row r="531" spans="3:18" ht="16.5">
      <c r="C531" s="37"/>
      <c r="F531" s="37"/>
      <c r="I531" s="37"/>
      <c r="L531" s="37"/>
      <c r="O531" s="37"/>
      <c r="R531" s="37"/>
    </row>
    <row r="532" spans="3:18" ht="16.5">
      <c r="C532" s="37"/>
      <c r="F532" s="37"/>
      <c r="I532" s="37"/>
      <c r="L532" s="37"/>
      <c r="O532" s="37"/>
      <c r="R532" s="37"/>
    </row>
    <row r="533" spans="3:18" ht="16.5">
      <c r="C533" s="37"/>
      <c r="F533" s="37"/>
      <c r="I533" s="37"/>
      <c r="L533" s="37"/>
      <c r="O533" s="37"/>
      <c r="R533" s="37"/>
    </row>
    <row r="534" spans="3:18" ht="16.5">
      <c r="C534" s="37"/>
      <c r="F534" s="37"/>
      <c r="I534" s="37"/>
      <c r="L534" s="37"/>
      <c r="O534" s="37"/>
      <c r="R534" s="37"/>
    </row>
    <row r="535" spans="3:18" ht="16.5">
      <c r="C535" s="37"/>
      <c r="F535" s="37"/>
      <c r="I535" s="37"/>
      <c r="L535" s="37"/>
      <c r="O535" s="37"/>
      <c r="R535" s="37"/>
    </row>
    <row r="536" spans="3:18" ht="16.5">
      <c r="C536" s="37"/>
      <c r="F536" s="37"/>
      <c r="I536" s="37"/>
      <c r="L536" s="37"/>
      <c r="O536" s="37"/>
      <c r="R536" s="37"/>
    </row>
    <row r="537" spans="3:18" ht="16.5">
      <c r="C537" s="37"/>
      <c r="F537" s="37"/>
      <c r="I537" s="37"/>
      <c r="L537" s="37"/>
      <c r="O537" s="37"/>
      <c r="R537" s="37"/>
    </row>
    <row r="538" spans="3:18" ht="16.5">
      <c r="C538" s="37"/>
      <c r="F538" s="37"/>
      <c r="I538" s="37"/>
      <c r="L538" s="37"/>
      <c r="O538" s="37"/>
      <c r="R538" s="37"/>
    </row>
    <row r="539" spans="3:18" ht="16.5">
      <c r="C539" s="37"/>
      <c r="F539" s="37"/>
      <c r="I539" s="37"/>
      <c r="L539" s="37"/>
      <c r="O539" s="37"/>
      <c r="R539" s="37"/>
    </row>
    <row r="540" spans="3:18" ht="16.5">
      <c r="C540" s="37"/>
      <c r="F540" s="37"/>
      <c r="I540" s="37"/>
      <c r="L540" s="37"/>
      <c r="O540" s="37"/>
      <c r="R540" s="37"/>
    </row>
    <row r="541" spans="3:18" ht="16.5">
      <c r="C541" s="37"/>
      <c r="F541" s="37"/>
      <c r="I541" s="37"/>
      <c r="L541" s="37"/>
      <c r="O541" s="37"/>
      <c r="R541" s="37"/>
    </row>
    <row r="542" spans="3:18" ht="16.5">
      <c r="C542" s="37"/>
      <c r="F542" s="37"/>
      <c r="I542" s="37"/>
      <c r="L542" s="37"/>
      <c r="O542" s="37"/>
      <c r="R542" s="37"/>
    </row>
    <row r="543" spans="3:18" ht="16.5">
      <c r="C543" s="37"/>
      <c r="F543" s="37"/>
      <c r="I543" s="37"/>
      <c r="L543" s="37"/>
      <c r="O543" s="37"/>
      <c r="R543" s="37"/>
    </row>
    <row r="544" spans="3:18" ht="16.5">
      <c r="C544" s="37"/>
      <c r="F544" s="37"/>
      <c r="I544" s="37"/>
      <c r="L544" s="37"/>
      <c r="O544" s="37"/>
      <c r="R544" s="37"/>
    </row>
    <row r="545" spans="3:18" ht="16.5">
      <c r="C545" s="37"/>
      <c r="F545" s="37"/>
      <c r="I545" s="37"/>
      <c r="L545" s="37"/>
      <c r="O545" s="37"/>
      <c r="R545" s="37"/>
    </row>
    <row r="546" spans="3:18" ht="16.5">
      <c r="C546" s="37"/>
      <c r="F546" s="37"/>
      <c r="I546" s="37"/>
      <c r="L546" s="37"/>
      <c r="O546" s="37"/>
      <c r="R546" s="37"/>
    </row>
    <row r="547" spans="3:18" ht="16.5">
      <c r="C547" s="37"/>
      <c r="F547" s="37"/>
      <c r="I547" s="37"/>
      <c r="L547" s="37"/>
      <c r="O547" s="37"/>
      <c r="R547" s="37"/>
    </row>
    <row r="548" spans="3:18" ht="16.5">
      <c r="C548" s="37"/>
      <c r="F548" s="37"/>
      <c r="I548" s="37"/>
      <c r="L548" s="37"/>
      <c r="O548" s="37"/>
      <c r="R548" s="37"/>
    </row>
    <row r="549" spans="3:18" ht="16.5">
      <c r="C549" s="37"/>
      <c r="F549" s="37"/>
      <c r="I549" s="37"/>
      <c r="L549" s="37"/>
      <c r="O549" s="37"/>
      <c r="R549" s="37"/>
    </row>
    <row r="550" spans="3:18" ht="16.5">
      <c r="C550" s="37"/>
      <c r="F550" s="37"/>
      <c r="I550" s="37"/>
      <c r="L550" s="37"/>
      <c r="O550" s="37"/>
      <c r="R550" s="37"/>
    </row>
    <row r="551" spans="3:18" ht="16.5">
      <c r="C551" s="37"/>
      <c r="F551" s="37"/>
      <c r="I551" s="37"/>
      <c r="L551" s="37"/>
      <c r="O551" s="37"/>
      <c r="R551" s="37"/>
    </row>
    <row r="552" spans="3:18" ht="16.5">
      <c r="C552" s="37"/>
      <c r="F552" s="37"/>
      <c r="I552" s="37"/>
      <c r="L552" s="37"/>
      <c r="O552" s="37"/>
      <c r="R552" s="37"/>
    </row>
    <row r="553" spans="3:18" ht="16.5">
      <c r="C553" s="37"/>
      <c r="F553" s="37"/>
      <c r="I553" s="37"/>
      <c r="L553" s="37"/>
      <c r="O553" s="37"/>
      <c r="R553" s="37"/>
    </row>
    <row r="554" spans="3:18" ht="16.5">
      <c r="C554" s="37"/>
      <c r="F554" s="37"/>
      <c r="I554" s="37"/>
      <c r="L554" s="37"/>
      <c r="O554" s="37"/>
      <c r="R554" s="37"/>
    </row>
    <row r="555" spans="3:18" ht="16.5">
      <c r="C555" s="37"/>
      <c r="F555" s="37"/>
      <c r="I555" s="37"/>
      <c r="L555" s="37"/>
      <c r="O555" s="37"/>
      <c r="R555" s="37"/>
    </row>
    <row r="556" spans="3:18" ht="16.5">
      <c r="C556" s="37"/>
      <c r="F556" s="37"/>
      <c r="I556" s="37"/>
      <c r="L556" s="37"/>
      <c r="O556" s="37"/>
      <c r="R556" s="37"/>
    </row>
    <row r="557" spans="3:18" ht="16.5">
      <c r="C557" s="37"/>
      <c r="F557" s="37"/>
      <c r="I557" s="37"/>
      <c r="L557" s="37"/>
      <c r="O557" s="37"/>
      <c r="R557" s="37"/>
    </row>
    <row r="558" spans="3:18" ht="16.5">
      <c r="C558" s="37"/>
      <c r="F558" s="37"/>
      <c r="I558" s="37"/>
      <c r="L558" s="37"/>
      <c r="O558" s="37"/>
      <c r="R558" s="37"/>
    </row>
    <row r="559" spans="3:18" ht="16.5">
      <c r="C559" s="37"/>
      <c r="F559" s="37"/>
      <c r="I559" s="37"/>
      <c r="L559" s="37"/>
      <c r="O559" s="37"/>
      <c r="R559" s="37"/>
    </row>
    <row r="560" spans="3:18" ht="16.5">
      <c r="C560" s="37"/>
      <c r="F560" s="37"/>
      <c r="I560" s="37"/>
      <c r="L560" s="37"/>
      <c r="O560" s="37"/>
      <c r="R560" s="37"/>
    </row>
    <row r="561" spans="3:18" ht="16.5">
      <c r="C561" s="37"/>
      <c r="F561" s="37"/>
      <c r="I561" s="37"/>
      <c r="L561" s="37"/>
      <c r="O561" s="37"/>
      <c r="R561" s="37"/>
    </row>
    <row r="562" spans="3:18" ht="16.5">
      <c r="C562" s="37"/>
      <c r="F562" s="37"/>
      <c r="I562" s="37"/>
      <c r="L562" s="37"/>
      <c r="O562" s="37"/>
      <c r="R562" s="37"/>
    </row>
    <row r="563" spans="3:18" ht="16.5">
      <c r="C563" s="37"/>
      <c r="F563" s="37"/>
      <c r="I563" s="37"/>
      <c r="L563" s="37"/>
      <c r="O563" s="37"/>
      <c r="R563" s="37"/>
    </row>
    <row r="564" spans="3:18" ht="16.5">
      <c r="C564" s="37"/>
      <c r="F564" s="37"/>
      <c r="I564" s="37"/>
      <c r="L564" s="37"/>
      <c r="O564" s="37"/>
      <c r="R564" s="37"/>
    </row>
    <row r="565" spans="3:18" ht="16.5">
      <c r="C565" s="37"/>
      <c r="F565" s="37"/>
      <c r="I565" s="37"/>
      <c r="L565" s="37"/>
      <c r="O565" s="37"/>
      <c r="R565" s="37"/>
    </row>
    <row r="566" spans="3:18" ht="16.5">
      <c r="C566" s="37"/>
      <c r="F566" s="37"/>
      <c r="I566" s="37"/>
      <c r="L566" s="37"/>
      <c r="O566" s="37"/>
      <c r="R566" s="37"/>
    </row>
    <row r="567" spans="3:18" ht="16.5">
      <c r="C567" s="37"/>
      <c r="F567" s="37"/>
      <c r="I567" s="37"/>
      <c r="L567" s="37"/>
      <c r="O567" s="37"/>
      <c r="R567" s="37"/>
    </row>
    <row r="568" spans="3:18" ht="16.5">
      <c r="C568" s="37"/>
      <c r="F568" s="37"/>
      <c r="I568" s="37"/>
      <c r="L568" s="37"/>
      <c r="O568" s="37"/>
      <c r="R568" s="37"/>
    </row>
    <row r="569" spans="3:18" ht="16.5">
      <c r="C569" s="37"/>
      <c r="F569" s="37"/>
      <c r="I569" s="37"/>
      <c r="L569" s="37"/>
      <c r="O569" s="37"/>
      <c r="R569" s="37"/>
    </row>
    <row r="570" spans="3:18" ht="16.5">
      <c r="C570" s="37"/>
      <c r="F570" s="37"/>
      <c r="I570" s="37"/>
      <c r="L570" s="37"/>
      <c r="O570" s="37"/>
      <c r="R570" s="37"/>
    </row>
    <row r="571" spans="3:18" ht="16.5">
      <c r="C571" s="37"/>
      <c r="F571" s="37"/>
      <c r="I571" s="37"/>
      <c r="L571" s="37"/>
      <c r="O571" s="37"/>
      <c r="R571" s="37"/>
    </row>
    <row r="572" spans="3:18" ht="16.5">
      <c r="C572" s="37"/>
      <c r="F572" s="37"/>
      <c r="I572" s="37"/>
      <c r="L572" s="37"/>
      <c r="O572" s="37"/>
      <c r="R572" s="37"/>
    </row>
    <row r="573" spans="3:18" ht="16.5">
      <c r="C573" s="37"/>
      <c r="F573" s="37"/>
      <c r="I573" s="37"/>
      <c r="L573" s="37"/>
      <c r="O573" s="37"/>
      <c r="R573" s="37"/>
    </row>
    <row r="574" spans="3:18" ht="16.5">
      <c r="C574" s="37"/>
      <c r="F574" s="37"/>
      <c r="I574" s="37"/>
      <c r="L574" s="37"/>
      <c r="O574" s="37"/>
      <c r="R574" s="37"/>
    </row>
    <row r="575" spans="3:18" ht="16.5">
      <c r="C575" s="37"/>
      <c r="F575" s="37"/>
      <c r="I575" s="37"/>
      <c r="L575" s="37"/>
      <c r="O575" s="37"/>
      <c r="R575" s="37"/>
    </row>
    <row r="576" spans="3:18" ht="16.5">
      <c r="C576" s="37"/>
      <c r="F576" s="37"/>
      <c r="I576" s="37"/>
      <c r="L576" s="37"/>
      <c r="O576" s="37"/>
      <c r="R576" s="37"/>
    </row>
    <row r="577" spans="3:18" ht="16.5">
      <c r="C577" s="37"/>
      <c r="F577" s="37"/>
      <c r="I577" s="37"/>
      <c r="L577" s="37"/>
      <c r="O577" s="37"/>
      <c r="R577" s="37"/>
    </row>
    <row r="578" spans="3:18" ht="16.5">
      <c r="C578" s="37"/>
      <c r="F578" s="37"/>
      <c r="I578" s="37"/>
      <c r="L578" s="37"/>
      <c r="O578" s="37"/>
      <c r="R578" s="37"/>
    </row>
    <row r="579" spans="3:18" ht="16.5">
      <c r="C579" s="37"/>
      <c r="F579" s="37"/>
      <c r="I579" s="37"/>
      <c r="L579" s="37"/>
      <c r="O579" s="37"/>
      <c r="R579" s="37"/>
    </row>
    <row r="580" spans="3:18" ht="16.5">
      <c r="C580" s="37"/>
      <c r="F580" s="37"/>
      <c r="I580" s="37"/>
      <c r="L580" s="37"/>
      <c r="O580" s="37"/>
      <c r="R580" s="37"/>
    </row>
    <row r="581" spans="3:18" ht="16.5">
      <c r="C581" s="37"/>
      <c r="F581" s="37"/>
      <c r="I581" s="37"/>
      <c r="L581" s="37"/>
      <c r="O581" s="37"/>
      <c r="R581" s="37"/>
    </row>
    <row r="582" spans="3:18" ht="16.5">
      <c r="C582" s="37"/>
      <c r="F582" s="37"/>
      <c r="I582" s="37"/>
      <c r="L582" s="37"/>
      <c r="O582" s="37"/>
      <c r="R582" s="37"/>
    </row>
    <row r="583" spans="3:18" ht="16.5">
      <c r="C583" s="37"/>
      <c r="F583" s="37"/>
      <c r="I583" s="37"/>
      <c r="L583" s="37"/>
      <c r="O583" s="37"/>
      <c r="R583" s="37"/>
    </row>
    <row r="584" spans="3:18" ht="16.5">
      <c r="C584" s="37"/>
      <c r="F584" s="37"/>
      <c r="I584" s="37"/>
      <c r="L584" s="37"/>
      <c r="O584" s="37"/>
      <c r="R584" s="37"/>
    </row>
    <row r="585" spans="3:18" ht="16.5">
      <c r="C585" s="37"/>
      <c r="F585" s="37"/>
      <c r="I585" s="37"/>
      <c r="L585" s="37"/>
      <c r="O585" s="37"/>
      <c r="R585" s="37"/>
    </row>
    <row r="586" spans="3:18" ht="16.5">
      <c r="C586" s="37"/>
      <c r="F586" s="37"/>
      <c r="I586" s="37"/>
      <c r="L586" s="37"/>
      <c r="O586" s="37"/>
      <c r="R586" s="37"/>
    </row>
    <row r="587" spans="3:18" ht="16.5">
      <c r="C587" s="37"/>
      <c r="F587" s="37"/>
      <c r="I587" s="37"/>
      <c r="L587" s="37"/>
      <c r="O587" s="37"/>
      <c r="R587" s="37"/>
    </row>
    <row r="588" spans="3:18" ht="16.5">
      <c r="C588" s="37"/>
      <c r="F588" s="37"/>
      <c r="I588" s="37"/>
      <c r="L588" s="37"/>
      <c r="O588" s="37"/>
      <c r="R588" s="37"/>
    </row>
    <row r="589" spans="3:18" ht="16.5">
      <c r="C589" s="37"/>
      <c r="F589" s="37"/>
      <c r="I589" s="37"/>
      <c r="L589" s="37"/>
      <c r="O589" s="37"/>
      <c r="R589" s="37"/>
    </row>
    <row r="590" spans="3:18" ht="16.5">
      <c r="C590" s="37"/>
      <c r="F590" s="37"/>
      <c r="I590" s="37"/>
      <c r="L590" s="37"/>
      <c r="O590" s="37"/>
      <c r="R590" s="37"/>
    </row>
    <row r="591" spans="3:18" ht="16.5">
      <c r="C591" s="37"/>
      <c r="F591" s="37"/>
      <c r="I591" s="37"/>
      <c r="L591" s="37"/>
      <c r="O591" s="37"/>
      <c r="R591" s="37"/>
    </row>
    <row r="592" spans="3:18" ht="16.5">
      <c r="C592" s="37"/>
      <c r="F592" s="37"/>
      <c r="I592" s="37"/>
      <c r="L592" s="37"/>
      <c r="O592" s="37"/>
      <c r="R592" s="37"/>
    </row>
    <row r="593" spans="3:18" ht="16.5">
      <c r="C593" s="37"/>
      <c r="F593" s="37"/>
      <c r="I593" s="37"/>
      <c r="L593" s="37"/>
      <c r="O593" s="37"/>
      <c r="R593" s="37"/>
    </row>
    <row r="594" spans="3:18" ht="16.5">
      <c r="C594" s="37"/>
      <c r="F594" s="37"/>
      <c r="I594" s="37"/>
      <c r="L594" s="37"/>
      <c r="O594" s="37"/>
      <c r="R594" s="37"/>
    </row>
    <row r="595" spans="3:18" ht="16.5">
      <c r="C595" s="37"/>
      <c r="F595" s="37"/>
      <c r="I595" s="37"/>
      <c r="L595" s="37"/>
      <c r="O595" s="37"/>
      <c r="R595" s="37"/>
    </row>
    <row r="596" spans="3:18" ht="16.5">
      <c r="C596" s="37"/>
      <c r="F596" s="37"/>
      <c r="I596" s="37"/>
      <c r="L596" s="37"/>
      <c r="O596" s="37"/>
      <c r="R596" s="37"/>
    </row>
    <row r="597" spans="3:18" ht="16.5">
      <c r="C597" s="37"/>
      <c r="F597" s="37"/>
      <c r="I597" s="37"/>
      <c r="L597" s="37"/>
      <c r="O597" s="37"/>
      <c r="R597" s="37"/>
    </row>
    <row r="598" spans="3:18" ht="16.5">
      <c r="C598" s="37"/>
      <c r="F598" s="37"/>
      <c r="I598" s="37"/>
      <c r="L598" s="37"/>
      <c r="O598" s="37"/>
      <c r="R598" s="37"/>
    </row>
    <row r="599" spans="3:18" ht="16.5">
      <c r="C599" s="37"/>
      <c r="F599" s="37"/>
      <c r="I599" s="37"/>
      <c r="L599" s="37"/>
      <c r="O599" s="37"/>
      <c r="R599" s="37"/>
    </row>
    <row r="600" spans="3:18" ht="16.5">
      <c r="C600" s="37"/>
      <c r="F600" s="37"/>
      <c r="I600" s="37"/>
      <c r="L600" s="37"/>
      <c r="O600" s="37"/>
      <c r="R600" s="37"/>
    </row>
    <row r="601" spans="3:18" ht="16.5">
      <c r="C601" s="37"/>
      <c r="F601" s="37"/>
      <c r="I601" s="37"/>
      <c r="L601" s="37"/>
      <c r="O601" s="37"/>
      <c r="R601" s="37"/>
    </row>
    <row r="602" spans="3:18" ht="16.5">
      <c r="C602" s="37"/>
      <c r="F602" s="37"/>
      <c r="I602" s="37"/>
      <c r="L602" s="37"/>
      <c r="O602" s="37"/>
      <c r="R602" s="37"/>
    </row>
    <row r="603" spans="3:18" ht="16.5">
      <c r="C603" s="37"/>
      <c r="F603" s="37"/>
      <c r="I603" s="37"/>
      <c r="L603" s="37"/>
      <c r="O603" s="37"/>
      <c r="R603" s="37"/>
    </row>
    <row r="604" spans="3:18" ht="16.5">
      <c r="C604" s="37"/>
      <c r="F604" s="37"/>
      <c r="I604" s="37"/>
      <c r="L604" s="37"/>
      <c r="O604" s="37"/>
      <c r="R604" s="37"/>
    </row>
    <row r="605" spans="3:18" ht="16.5">
      <c r="C605" s="37"/>
      <c r="F605" s="37"/>
      <c r="I605" s="37"/>
      <c r="L605" s="37"/>
      <c r="O605" s="37"/>
      <c r="R605" s="37"/>
    </row>
    <row r="606" spans="3:18" ht="16.5">
      <c r="C606" s="37"/>
      <c r="F606" s="37"/>
      <c r="I606" s="37"/>
      <c r="L606" s="37"/>
      <c r="O606" s="37"/>
      <c r="R606" s="37"/>
    </row>
    <row r="607" spans="3:18" ht="16.5">
      <c r="C607" s="37"/>
      <c r="F607" s="37"/>
      <c r="I607" s="37"/>
      <c r="L607" s="37"/>
      <c r="O607" s="37"/>
      <c r="R607" s="37"/>
    </row>
    <row r="608" spans="3:18" ht="16.5">
      <c r="C608" s="37"/>
      <c r="F608" s="37"/>
      <c r="I608" s="37"/>
      <c r="L608" s="37"/>
      <c r="O608" s="37"/>
      <c r="R608" s="37"/>
    </row>
    <row r="609" spans="3:18" ht="16.5">
      <c r="C609" s="37"/>
      <c r="F609" s="37"/>
      <c r="I609" s="37"/>
      <c r="L609" s="37"/>
      <c r="O609" s="37"/>
      <c r="R609" s="37"/>
    </row>
    <row r="610" spans="3:18" ht="16.5">
      <c r="C610" s="37"/>
      <c r="F610" s="37"/>
      <c r="I610" s="37"/>
      <c r="L610" s="37"/>
      <c r="O610" s="37"/>
      <c r="R610" s="37"/>
    </row>
    <row r="611" spans="3:18" ht="16.5">
      <c r="C611" s="37"/>
      <c r="F611" s="37"/>
      <c r="I611" s="37"/>
      <c r="L611" s="37"/>
      <c r="O611" s="37"/>
      <c r="R611" s="37"/>
    </row>
    <row r="612" spans="3:18" ht="16.5">
      <c r="C612" s="37"/>
      <c r="F612" s="37"/>
      <c r="I612" s="37"/>
      <c r="L612" s="37"/>
      <c r="O612" s="37"/>
      <c r="R612" s="37"/>
    </row>
    <row r="613" spans="3:18" ht="16.5">
      <c r="C613" s="37"/>
      <c r="F613" s="37"/>
      <c r="I613" s="37"/>
      <c r="L613" s="37"/>
      <c r="O613" s="37"/>
      <c r="R613" s="37"/>
    </row>
    <row r="614" spans="3:18" ht="16.5">
      <c r="C614" s="37"/>
      <c r="F614" s="37"/>
      <c r="I614" s="37"/>
      <c r="L614" s="37"/>
      <c r="O614" s="37"/>
      <c r="R614" s="37"/>
    </row>
    <row r="615" spans="3:18" ht="16.5">
      <c r="C615" s="37"/>
      <c r="F615" s="37"/>
      <c r="I615" s="37"/>
      <c r="L615" s="37"/>
      <c r="O615" s="37"/>
      <c r="R615" s="37"/>
    </row>
    <row r="616" spans="3:18" ht="16.5">
      <c r="C616" s="37"/>
      <c r="F616" s="37"/>
      <c r="I616" s="37"/>
      <c r="L616" s="37"/>
      <c r="O616" s="37"/>
      <c r="R616" s="37"/>
    </row>
    <row r="617" spans="3:18" ht="16.5">
      <c r="C617" s="37"/>
      <c r="F617" s="37"/>
      <c r="I617" s="37"/>
      <c r="L617" s="37"/>
      <c r="O617" s="37"/>
      <c r="R617" s="37"/>
    </row>
    <row r="618" spans="3:18" ht="16.5">
      <c r="C618" s="37"/>
      <c r="F618" s="37"/>
      <c r="I618" s="37"/>
      <c r="L618" s="37"/>
      <c r="O618" s="37"/>
      <c r="R618" s="37"/>
    </row>
    <row r="619" spans="3:18" ht="16.5">
      <c r="C619" s="37"/>
      <c r="F619" s="37"/>
      <c r="I619" s="37"/>
      <c r="L619" s="37"/>
      <c r="O619" s="37"/>
      <c r="R619" s="37"/>
    </row>
    <row r="620" spans="3:18" ht="16.5">
      <c r="C620" s="37"/>
      <c r="F620" s="37"/>
      <c r="I620" s="37"/>
      <c r="L620" s="37"/>
      <c r="O620" s="37"/>
      <c r="R620" s="37"/>
    </row>
    <row r="621" spans="3:18" ht="16.5">
      <c r="C621" s="37"/>
      <c r="F621" s="37"/>
      <c r="I621" s="37"/>
      <c r="L621" s="37"/>
      <c r="O621" s="37"/>
      <c r="R621" s="37"/>
    </row>
    <row r="622" spans="3:18" ht="16.5">
      <c r="C622" s="37"/>
      <c r="F622" s="37"/>
      <c r="I622" s="37"/>
      <c r="L622" s="37"/>
      <c r="O622" s="37"/>
      <c r="R622" s="37"/>
    </row>
    <row r="623" spans="3:18" ht="16.5">
      <c r="C623" s="37"/>
      <c r="F623" s="37"/>
      <c r="I623" s="37"/>
      <c r="L623" s="37"/>
      <c r="O623" s="37"/>
      <c r="R623" s="37"/>
    </row>
    <row r="624" spans="3:18" ht="16.5">
      <c r="C624" s="37"/>
      <c r="F624" s="37"/>
      <c r="I624" s="37"/>
      <c r="L624" s="37"/>
      <c r="O624" s="37"/>
      <c r="R624" s="37"/>
    </row>
    <row r="625" spans="3:18" ht="16.5">
      <c r="C625" s="37"/>
      <c r="F625" s="37"/>
      <c r="I625" s="37"/>
      <c r="L625" s="37"/>
      <c r="O625" s="37"/>
      <c r="R625" s="37"/>
    </row>
    <row r="626" spans="3:18" ht="16.5">
      <c r="C626" s="37"/>
      <c r="F626" s="37"/>
      <c r="I626" s="37"/>
      <c r="L626" s="37"/>
      <c r="O626" s="37"/>
      <c r="R626" s="37"/>
    </row>
    <row r="627" spans="3:18" ht="16.5">
      <c r="C627" s="37"/>
      <c r="F627" s="37"/>
      <c r="I627" s="37"/>
      <c r="L627" s="37"/>
      <c r="O627" s="37"/>
      <c r="R627" s="37"/>
    </row>
    <row r="628" spans="3:18" ht="16.5">
      <c r="C628" s="37"/>
      <c r="F628" s="37"/>
      <c r="I628" s="37"/>
      <c r="L628" s="37"/>
      <c r="O628" s="37"/>
      <c r="R628" s="37"/>
    </row>
    <row r="629" spans="3:18" ht="16.5">
      <c r="C629" s="37"/>
      <c r="F629" s="37"/>
      <c r="I629" s="37"/>
      <c r="L629" s="37"/>
      <c r="O629" s="37"/>
      <c r="R629" s="37"/>
    </row>
    <row r="630" spans="3:18" ht="16.5">
      <c r="C630" s="37"/>
      <c r="F630" s="37"/>
      <c r="I630" s="37"/>
      <c r="L630" s="37"/>
      <c r="O630" s="37"/>
      <c r="R630" s="37"/>
    </row>
    <row r="631" spans="3:18" ht="16.5">
      <c r="C631" s="37"/>
      <c r="F631" s="37"/>
      <c r="I631" s="37"/>
      <c r="L631" s="37"/>
      <c r="O631" s="37"/>
      <c r="R631" s="37"/>
    </row>
    <row r="632" spans="3:18" ht="16.5">
      <c r="C632" s="37"/>
      <c r="F632" s="37"/>
      <c r="I632" s="37"/>
      <c r="L632" s="37"/>
      <c r="O632" s="37"/>
      <c r="R632" s="37"/>
    </row>
    <row r="633" spans="3:18" ht="16.5">
      <c r="C633" s="37"/>
      <c r="F633" s="37"/>
      <c r="I633" s="37"/>
      <c r="L633" s="37"/>
      <c r="O633" s="37"/>
      <c r="R633" s="37"/>
    </row>
    <row r="634" spans="3:18" ht="16.5">
      <c r="C634" s="37"/>
      <c r="F634" s="37"/>
      <c r="I634" s="37"/>
      <c r="L634" s="37"/>
      <c r="O634" s="37"/>
      <c r="R634" s="37"/>
    </row>
    <row r="635" spans="3:18" ht="16.5">
      <c r="C635" s="37"/>
      <c r="F635" s="37"/>
      <c r="I635" s="37"/>
      <c r="L635" s="37"/>
      <c r="O635" s="37"/>
      <c r="R635" s="37"/>
    </row>
    <row r="636" spans="3:18" ht="16.5">
      <c r="C636" s="37"/>
      <c r="F636" s="37"/>
      <c r="I636" s="37"/>
      <c r="L636" s="37"/>
      <c r="O636" s="37"/>
      <c r="R636" s="37"/>
    </row>
    <row r="637" spans="3:18" ht="16.5">
      <c r="C637" s="37"/>
      <c r="F637" s="37"/>
      <c r="I637" s="37"/>
      <c r="L637" s="37"/>
      <c r="O637" s="37"/>
      <c r="R637" s="37"/>
    </row>
    <row r="638" spans="3:18" ht="16.5">
      <c r="C638" s="37"/>
      <c r="F638" s="37"/>
      <c r="I638" s="37"/>
      <c r="L638" s="37"/>
      <c r="O638" s="37"/>
      <c r="R638" s="37"/>
    </row>
    <row r="639" spans="3:18" ht="16.5">
      <c r="C639" s="37"/>
      <c r="F639" s="37"/>
      <c r="I639" s="37"/>
      <c r="L639" s="37"/>
      <c r="O639" s="37"/>
      <c r="R639" s="37"/>
    </row>
    <row r="640" spans="3:18" ht="16.5">
      <c r="C640" s="37"/>
      <c r="F640" s="37"/>
      <c r="I640" s="37"/>
      <c r="L640" s="37"/>
      <c r="O640" s="37"/>
      <c r="R640" s="37"/>
    </row>
    <row r="641" spans="3:18" ht="16.5">
      <c r="C641" s="37"/>
      <c r="F641" s="37"/>
      <c r="I641" s="37"/>
      <c r="L641" s="37"/>
      <c r="O641" s="37"/>
      <c r="R641" s="37"/>
    </row>
    <row r="642" spans="3:18" ht="16.5">
      <c r="C642" s="37"/>
      <c r="F642" s="37"/>
      <c r="I642" s="37"/>
      <c r="L642" s="37"/>
      <c r="O642" s="37"/>
      <c r="R642" s="37"/>
    </row>
    <row r="643" spans="3:18" ht="16.5">
      <c r="C643" s="37"/>
      <c r="F643" s="37"/>
      <c r="I643" s="37"/>
      <c r="L643" s="37"/>
      <c r="O643" s="37"/>
      <c r="R643" s="37"/>
    </row>
    <row r="644" spans="3:18" ht="16.5">
      <c r="C644" s="37"/>
      <c r="F644" s="37"/>
      <c r="I644" s="37"/>
      <c r="L644" s="37"/>
      <c r="O644" s="37"/>
      <c r="R644" s="37"/>
    </row>
    <row r="645" spans="3:18" ht="16.5">
      <c r="C645" s="37"/>
      <c r="F645" s="37"/>
      <c r="I645" s="37"/>
      <c r="L645" s="37"/>
      <c r="O645" s="37"/>
      <c r="R645" s="37"/>
    </row>
    <row r="646" spans="3:18" ht="16.5">
      <c r="C646" s="37"/>
      <c r="F646" s="37"/>
      <c r="I646" s="37"/>
      <c r="L646" s="37"/>
      <c r="O646" s="37"/>
      <c r="R646" s="37"/>
    </row>
    <row r="647" spans="3:18" ht="16.5">
      <c r="C647" s="37"/>
      <c r="F647" s="37"/>
      <c r="I647" s="37"/>
      <c r="L647" s="37"/>
      <c r="O647" s="37"/>
      <c r="R647" s="37"/>
    </row>
    <row r="648" spans="3:18" ht="16.5">
      <c r="C648" s="37"/>
      <c r="F648" s="37"/>
      <c r="I648" s="37"/>
      <c r="L648" s="37"/>
      <c r="O648" s="37"/>
      <c r="R648" s="37"/>
    </row>
    <row r="649" spans="3:18" ht="16.5">
      <c r="C649" s="37"/>
      <c r="F649" s="37"/>
      <c r="I649" s="37"/>
      <c r="L649" s="37"/>
      <c r="O649" s="37"/>
      <c r="R649" s="37"/>
    </row>
    <row r="650" spans="3:18" ht="16.5">
      <c r="C650" s="37"/>
      <c r="F650" s="37"/>
      <c r="I650" s="37"/>
      <c r="L650" s="37"/>
      <c r="O650" s="37"/>
      <c r="R650" s="37"/>
    </row>
    <row r="651" spans="3:18" ht="16.5">
      <c r="C651" s="37"/>
      <c r="F651" s="37"/>
      <c r="I651" s="37"/>
      <c r="L651" s="37"/>
      <c r="O651" s="37"/>
      <c r="R651" s="37"/>
    </row>
    <row r="652" spans="3:18" ht="16.5">
      <c r="C652" s="37"/>
      <c r="F652" s="37"/>
      <c r="I652" s="37"/>
      <c r="L652" s="37"/>
      <c r="O652" s="37"/>
      <c r="R652" s="37"/>
    </row>
    <row r="653" spans="3:18" ht="16.5">
      <c r="C653" s="37"/>
      <c r="F653" s="37"/>
      <c r="I653" s="37"/>
      <c r="L653" s="37"/>
      <c r="O653" s="37"/>
      <c r="R653" s="37"/>
    </row>
    <row r="654" spans="3:18" ht="16.5">
      <c r="C654" s="37"/>
      <c r="F654" s="37"/>
      <c r="I654" s="37"/>
      <c r="L654" s="37"/>
      <c r="O654" s="37"/>
      <c r="R654" s="37"/>
    </row>
    <row r="655" spans="3:18" ht="16.5">
      <c r="C655" s="37"/>
      <c r="F655" s="37"/>
      <c r="I655" s="37"/>
      <c r="L655" s="37"/>
      <c r="O655" s="37"/>
      <c r="R655" s="37"/>
    </row>
    <row r="656" spans="3:18" ht="16.5">
      <c r="C656" s="37"/>
      <c r="F656" s="37"/>
      <c r="I656" s="37"/>
      <c r="L656" s="37"/>
      <c r="O656" s="37"/>
      <c r="R656" s="37"/>
    </row>
    <row r="657" spans="3:18" ht="16.5">
      <c r="C657" s="37"/>
      <c r="F657" s="37"/>
      <c r="I657" s="37"/>
      <c r="L657" s="37"/>
      <c r="O657" s="37"/>
      <c r="R657" s="37"/>
    </row>
    <row r="658" spans="3:18" ht="16.5">
      <c r="C658" s="37"/>
      <c r="F658" s="37"/>
      <c r="I658" s="37"/>
      <c r="L658" s="37"/>
      <c r="O658" s="37"/>
      <c r="R658" s="37"/>
    </row>
    <row r="659" spans="3:18" ht="16.5">
      <c r="C659" s="37"/>
      <c r="F659" s="37"/>
      <c r="I659" s="37"/>
      <c r="L659" s="37"/>
      <c r="O659" s="37"/>
      <c r="R659" s="37"/>
    </row>
    <row r="660" spans="3:18" ht="16.5">
      <c r="C660" s="37"/>
      <c r="F660" s="37"/>
      <c r="I660" s="37"/>
      <c r="L660" s="37"/>
      <c r="O660" s="37"/>
      <c r="R660" s="37"/>
    </row>
    <row r="661" spans="3:18" ht="16.5">
      <c r="C661" s="37"/>
      <c r="F661" s="37"/>
      <c r="I661" s="37"/>
      <c r="L661" s="37"/>
      <c r="O661" s="37"/>
      <c r="R661" s="37"/>
    </row>
    <row r="662" spans="3:18" ht="16.5">
      <c r="C662" s="37"/>
      <c r="F662" s="37"/>
      <c r="I662" s="37"/>
      <c r="L662" s="37"/>
      <c r="O662" s="37"/>
      <c r="R662" s="37"/>
    </row>
    <row r="663" spans="3:18" ht="16.5">
      <c r="C663" s="37"/>
      <c r="F663" s="37"/>
      <c r="I663" s="37"/>
      <c r="L663" s="37"/>
      <c r="O663" s="37"/>
      <c r="R663" s="37"/>
    </row>
    <row r="664" spans="3:18" ht="16.5">
      <c r="C664" s="37"/>
      <c r="F664" s="37"/>
      <c r="I664" s="37"/>
      <c r="L664" s="37"/>
      <c r="O664" s="37"/>
      <c r="R664" s="37"/>
    </row>
    <row r="665" spans="3:18" ht="16.5">
      <c r="C665" s="37"/>
      <c r="F665" s="37"/>
      <c r="I665" s="37"/>
      <c r="L665" s="37"/>
      <c r="O665" s="37"/>
      <c r="R665" s="37"/>
    </row>
    <row r="666" spans="3:18" ht="16.5">
      <c r="C666" s="37"/>
      <c r="F666" s="37"/>
      <c r="I666" s="37"/>
      <c r="L666" s="37"/>
      <c r="O666" s="37"/>
      <c r="R666" s="37"/>
    </row>
    <row r="667" spans="3:18" ht="16.5">
      <c r="C667" s="37"/>
      <c r="F667" s="37"/>
      <c r="I667" s="37"/>
      <c r="L667" s="37"/>
      <c r="O667" s="37"/>
      <c r="R667" s="37"/>
    </row>
    <row r="668" spans="3:18" ht="16.5">
      <c r="C668" s="37"/>
      <c r="F668" s="37"/>
      <c r="I668" s="37"/>
      <c r="L668" s="37"/>
      <c r="O668" s="37"/>
      <c r="R668" s="37"/>
    </row>
    <row r="669" spans="3:18" ht="16.5">
      <c r="C669" s="37"/>
      <c r="F669" s="37"/>
      <c r="I669" s="37"/>
      <c r="L669" s="37"/>
      <c r="O669" s="37"/>
      <c r="R669" s="37"/>
    </row>
    <row r="670" spans="3:18" ht="16.5">
      <c r="C670" s="37"/>
      <c r="F670" s="37"/>
      <c r="I670" s="37"/>
      <c r="L670" s="37"/>
      <c r="O670" s="37"/>
      <c r="R670" s="37"/>
    </row>
    <row r="671" spans="3:18" ht="16.5">
      <c r="C671" s="37"/>
      <c r="F671" s="37"/>
      <c r="I671" s="37"/>
      <c r="L671" s="37"/>
      <c r="O671" s="37"/>
      <c r="R671" s="37"/>
    </row>
    <row r="672" spans="3:18" ht="16.5">
      <c r="C672" s="37"/>
      <c r="F672" s="37"/>
      <c r="I672" s="37"/>
      <c r="L672" s="37"/>
      <c r="O672" s="37"/>
      <c r="R672" s="37"/>
    </row>
    <row r="673" spans="3:18" ht="16.5">
      <c r="C673" s="37"/>
      <c r="F673" s="37"/>
      <c r="I673" s="37"/>
      <c r="L673" s="37"/>
      <c r="O673" s="37"/>
      <c r="R673" s="37"/>
    </row>
    <row r="674" spans="3:18" ht="16.5">
      <c r="C674" s="37"/>
      <c r="F674" s="37"/>
      <c r="I674" s="37"/>
      <c r="L674" s="37"/>
      <c r="O674" s="37"/>
      <c r="R674" s="37"/>
    </row>
    <row r="675" spans="3:18" ht="16.5">
      <c r="C675" s="37"/>
      <c r="F675" s="37"/>
      <c r="I675" s="37"/>
      <c r="L675" s="37"/>
      <c r="O675" s="37"/>
      <c r="R675" s="37"/>
    </row>
    <row r="676" spans="3:18" ht="16.5">
      <c r="C676" s="37"/>
      <c r="F676" s="37"/>
      <c r="I676" s="37"/>
      <c r="L676" s="37"/>
      <c r="O676" s="37"/>
      <c r="R676" s="37"/>
    </row>
    <row r="677" spans="3:18" ht="16.5">
      <c r="C677" s="37"/>
      <c r="F677" s="37"/>
      <c r="I677" s="37"/>
      <c r="L677" s="37"/>
      <c r="O677" s="37"/>
      <c r="R677" s="37"/>
    </row>
    <row r="678" spans="3:18" ht="16.5">
      <c r="C678" s="37"/>
      <c r="F678" s="37"/>
      <c r="I678" s="37"/>
      <c r="L678" s="37"/>
      <c r="O678" s="37"/>
      <c r="R678" s="37"/>
    </row>
    <row r="679" spans="3:18" ht="16.5">
      <c r="C679" s="37"/>
      <c r="F679" s="37"/>
      <c r="I679" s="37"/>
      <c r="L679" s="37"/>
      <c r="O679" s="37"/>
      <c r="R679" s="37"/>
    </row>
    <row r="680" spans="3:18" ht="16.5">
      <c r="C680" s="37"/>
      <c r="F680" s="37"/>
      <c r="I680" s="37"/>
      <c r="L680" s="37"/>
      <c r="O680" s="37"/>
      <c r="R680" s="37"/>
    </row>
    <row r="681" spans="3:18" ht="16.5">
      <c r="C681" s="37"/>
      <c r="F681" s="37"/>
      <c r="I681" s="37"/>
      <c r="L681" s="37"/>
      <c r="O681" s="37"/>
      <c r="R681" s="37"/>
    </row>
    <row r="682" spans="3:18" ht="16.5">
      <c r="C682" s="37"/>
      <c r="F682" s="37"/>
      <c r="I682" s="37"/>
      <c r="L682" s="37"/>
      <c r="O682" s="37"/>
      <c r="R682" s="37"/>
    </row>
    <row r="683" spans="3:18" ht="16.5">
      <c r="C683" s="37"/>
      <c r="F683" s="37"/>
      <c r="I683" s="37"/>
      <c r="L683" s="37"/>
      <c r="O683" s="37"/>
      <c r="R683" s="37"/>
    </row>
    <row r="684" spans="3:18" ht="16.5">
      <c r="C684" s="37"/>
      <c r="F684" s="37"/>
      <c r="I684" s="37"/>
      <c r="L684" s="37"/>
      <c r="O684" s="37"/>
      <c r="R684" s="37"/>
    </row>
    <row r="685" spans="3:18" ht="16.5">
      <c r="C685" s="37"/>
      <c r="F685" s="37"/>
      <c r="I685" s="37"/>
      <c r="L685" s="37"/>
      <c r="O685" s="37"/>
      <c r="R685" s="37"/>
    </row>
    <row r="686" spans="3:18" ht="16.5">
      <c r="C686" s="37"/>
      <c r="F686" s="37"/>
      <c r="I686" s="37"/>
      <c r="L686" s="37"/>
      <c r="O686" s="37"/>
      <c r="R686" s="37"/>
    </row>
    <row r="687" spans="3:18" ht="16.5">
      <c r="C687" s="37"/>
      <c r="F687" s="37"/>
      <c r="I687" s="37"/>
      <c r="L687" s="37"/>
      <c r="O687" s="37"/>
      <c r="R687" s="37"/>
    </row>
    <row r="688" spans="3:18" ht="16.5">
      <c r="C688" s="37"/>
      <c r="F688" s="37"/>
      <c r="I688" s="37"/>
      <c r="L688" s="37"/>
      <c r="O688" s="37"/>
      <c r="R688" s="37"/>
    </row>
    <row r="689" spans="3:18" ht="16.5">
      <c r="C689" s="37"/>
      <c r="F689" s="37"/>
      <c r="I689" s="37"/>
      <c r="L689" s="37"/>
      <c r="O689" s="37"/>
      <c r="R689" s="37"/>
    </row>
    <row r="690" spans="3:18" ht="16.5">
      <c r="C690" s="37"/>
      <c r="F690" s="37"/>
      <c r="I690" s="37"/>
      <c r="L690" s="37"/>
      <c r="O690" s="37"/>
      <c r="R690" s="37"/>
    </row>
    <row r="691" spans="3:18" ht="16.5">
      <c r="C691" s="37"/>
      <c r="F691" s="37"/>
      <c r="I691" s="37"/>
      <c r="L691" s="37"/>
      <c r="O691" s="37"/>
      <c r="R691" s="37"/>
    </row>
    <row r="692" spans="3:18" ht="16.5">
      <c r="C692" s="37"/>
      <c r="F692" s="37"/>
      <c r="I692" s="37"/>
      <c r="L692" s="37"/>
      <c r="O692" s="37"/>
      <c r="R692" s="37"/>
    </row>
    <row r="693" spans="3:18" ht="16.5">
      <c r="C693" s="37"/>
      <c r="F693" s="37"/>
      <c r="I693" s="37"/>
      <c r="L693" s="37"/>
      <c r="O693" s="37"/>
      <c r="R693" s="37"/>
    </row>
    <row r="694" spans="3:18" ht="16.5">
      <c r="C694" s="37"/>
      <c r="F694" s="37"/>
      <c r="I694" s="37"/>
      <c r="L694" s="37"/>
      <c r="O694" s="37"/>
      <c r="R694" s="37"/>
    </row>
    <row r="695" spans="3:18" ht="16.5">
      <c r="C695" s="37"/>
      <c r="F695" s="37"/>
      <c r="I695" s="37"/>
      <c r="L695" s="37"/>
      <c r="O695" s="37"/>
      <c r="R695" s="37"/>
    </row>
    <row r="696" spans="3:18" ht="16.5">
      <c r="C696" s="37"/>
      <c r="F696" s="37"/>
      <c r="I696" s="37"/>
      <c r="L696" s="37"/>
      <c r="O696" s="37"/>
      <c r="R696" s="37"/>
    </row>
    <row r="697" spans="3:18" ht="16.5">
      <c r="C697" s="37"/>
      <c r="F697" s="37"/>
      <c r="I697" s="37"/>
      <c r="L697" s="37"/>
      <c r="O697" s="37"/>
      <c r="R697" s="37"/>
    </row>
    <row r="698" spans="3:18" ht="16.5">
      <c r="C698" s="37"/>
      <c r="F698" s="37"/>
      <c r="I698" s="37"/>
      <c r="L698" s="37"/>
      <c r="O698" s="37"/>
      <c r="R698" s="37"/>
    </row>
    <row r="699" spans="3:18" ht="16.5">
      <c r="C699" s="37"/>
      <c r="F699" s="37"/>
      <c r="I699" s="37"/>
      <c r="L699" s="37"/>
      <c r="O699" s="37"/>
      <c r="R699" s="37"/>
    </row>
    <row r="700" spans="3:18" ht="16.5">
      <c r="C700" s="37"/>
      <c r="F700" s="37"/>
      <c r="I700" s="37"/>
      <c r="L700" s="37"/>
      <c r="O700" s="37"/>
      <c r="R700" s="37"/>
    </row>
    <row r="701" spans="3:18" ht="16.5">
      <c r="C701" s="37"/>
      <c r="F701" s="37"/>
      <c r="I701" s="37"/>
      <c r="L701" s="37"/>
      <c r="O701" s="37"/>
      <c r="R701" s="37"/>
    </row>
    <row r="702" spans="3:18" ht="16.5">
      <c r="C702" s="37"/>
      <c r="F702" s="37"/>
      <c r="I702" s="37"/>
      <c r="L702" s="37"/>
      <c r="O702" s="37"/>
      <c r="R702" s="37"/>
    </row>
    <row r="703" spans="3:18" ht="16.5">
      <c r="C703" s="37"/>
      <c r="F703" s="37"/>
      <c r="I703" s="37"/>
      <c r="L703" s="37"/>
      <c r="O703" s="37"/>
      <c r="R703" s="37"/>
    </row>
    <row r="704" spans="3:18" ht="16.5">
      <c r="C704" s="37"/>
      <c r="F704" s="37"/>
      <c r="I704" s="37"/>
      <c r="L704" s="37"/>
      <c r="O704" s="37"/>
      <c r="R704" s="37"/>
    </row>
    <row r="705" spans="3:18" ht="16.5">
      <c r="C705" s="37"/>
      <c r="F705" s="37"/>
      <c r="I705" s="37"/>
      <c r="L705" s="37"/>
      <c r="O705" s="37"/>
      <c r="R705" s="37"/>
    </row>
    <row r="706" spans="3:18" ht="16.5">
      <c r="C706" s="37"/>
      <c r="F706" s="37"/>
      <c r="I706" s="37"/>
      <c r="L706" s="37"/>
      <c r="O706" s="37"/>
      <c r="R706" s="37"/>
    </row>
    <row r="707" spans="3:18" ht="16.5">
      <c r="C707" s="37"/>
      <c r="F707" s="37"/>
      <c r="I707" s="37"/>
      <c r="L707" s="37"/>
      <c r="O707" s="37"/>
      <c r="R707" s="37"/>
    </row>
    <row r="708" spans="3:18" ht="16.5">
      <c r="C708" s="37"/>
      <c r="F708" s="37"/>
      <c r="I708" s="37"/>
      <c r="L708" s="37"/>
      <c r="O708" s="37"/>
      <c r="R708" s="37"/>
    </row>
    <row r="709" spans="3:18" ht="16.5">
      <c r="C709" s="37"/>
      <c r="F709" s="37"/>
      <c r="I709" s="37"/>
      <c r="L709" s="37"/>
      <c r="O709" s="37"/>
      <c r="R709" s="37"/>
    </row>
    <row r="710" spans="3:18" ht="16.5">
      <c r="C710" s="37"/>
      <c r="F710" s="37"/>
      <c r="I710" s="37"/>
      <c r="L710" s="37"/>
      <c r="O710" s="37"/>
      <c r="R710" s="37"/>
    </row>
    <row r="711" spans="3:18" ht="16.5">
      <c r="C711" s="37"/>
      <c r="F711" s="37"/>
      <c r="I711" s="37"/>
      <c r="L711" s="37"/>
      <c r="O711" s="37"/>
      <c r="R711" s="37"/>
    </row>
    <row r="712" spans="3:18" ht="16.5">
      <c r="C712" s="37"/>
      <c r="F712" s="37"/>
      <c r="I712" s="37"/>
      <c r="L712" s="37"/>
      <c r="O712" s="37"/>
      <c r="R712" s="37"/>
    </row>
    <row r="713" spans="3:18" ht="16.5">
      <c r="C713" s="37"/>
      <c r="F713" s="37"/>
      <c r="I713" s="37"/>
      <c r="L713" s="37"/>
      <c r="O713" s="37"/>
      <c r="R713" s="37"/>
    </row>
    <row r="714" spans="3:18" ht="16.5">
      <c r="C714" s="37"/>
      <c r="F714" s="37"/>
      <c r="I714" s="37"/>
      <c r="L714" s="37"/>
      <c r="O714" s="37"/>
      <c r="R714" s="37"/>
    </row>
    <row r="715" spans="3:18" ht="16.5">
      <c r="C715" s="37"/>
      <c r="F715" s="37"/>
      <c r="I715" s="37"/>
      <c r="L715" s="37"/>
      <c r="O715" s="37"/>
      <c r="R715" s="37"/>
    </row>
    <row r="716" spans="3:18" ht="16.5">
      <c r="C716" s="37"/>
      <c r="F716" s="37"/>
      <c r="I716" s="37"/>
      <c r="L716" s="37"/>
      <c r="O716" s="37"/>
      <c r="R716" s="37"/>
    </row>
    <row r="717" spans="3:18" ht="16.5">
      <c r="C717" s="37"/>
      <c r="F717" s="37"/>
      <c r="I717" s="37"/>
      <c r="L717" s="37"/>
      <c r="O717" s="37"/>
      <c r="R717" s="37"/>
    </row>
    <row r="718" spans="3:18" ht="16.5">
      <c r="C718" s="37"/>
      <c r="F718" s="37"/>
      <c r="I718" s="37"/>
      <c r="L718" s="37"/>
      <c r="O718" s="37"/>
      <c r="R718" s="37"/>
    </row>
    <row r="719" spans="3:18" ht="16.5">
      <c r="C719" s="37"/>
      <c r="F719" s="37"/>
      <c r="I719" s="37"/>
      <c r="L719" s="37"/>
      <c r="O719" s="37"/>
      <c r="R719" s="37"/>
    </row>
    <row r="720" spans="3:18" ht="16.5">
      <c r="C720" s="37"/>
      <c r="F720" s="37"/>
      <c r="I720" s="37"/>
      <c r="L720" s="37"/>
      <c r="O720" s="37"/>
      <c r="R720" s="37"/>
    </row>
    <row r="721" spans="3:18" ht="16.5">
      <c r="C721" s="37"/>
      <c r="F721" s="37"/>
      <c r="I721" s="37"/>
      <c r="L721" s="37"/>
      <c r="O721" s="37"/>
      <c r="R721" s="37"/>
    </row>
    <row r="722" spans="3:18" ht="16.5">
      <c r="C722" s="37"/>
      <c r="F722" s="37"/>
      <c r="I722" s="37"/>
      <c r="L722" s="37"/>
      <c r="O722" s="37"/>
      <c r="R722" s="37"/>
    </row>
    <row r="723" spans="3:18" ht="16.5">
      <c r="C723" s="37"/>
      <c r="F723" s="37"/>
      <c r="I723" s="37"/>
      <c r="L723" s="37"/>
      <c r="O723" s="37"/>
      <c r="R723" s="37"/>
    </row>
    <row r="724" spans="3:18" ht="16.5">
      <c r="C724" s="37"/>
      <c r="F724" s="37"/>
      <c r="I724" s="37"/>
      <c r="L724" s="37"/>
      <c r="O724" s="37"/>
      <c r="R724" s="37"/>
    </row>
    <row r="725" spans="3:18" ht="16.5">
      <c r="C725" s="37"/>
      <c r="F725" s="37"/>
      <c r="I725" s="37"/>
      <c r="L725" s="37"/>
      <c r="O725" s="37"/>
      <c r="R725" s="37"/>
    </row>
    <row r="726" spans="3:18" ht="16.5">
      <c r="C726" s="37"/>
      <c r="F726" s="37"/>
      <c r="I726" s="37"/>
      <c r="L726" s="37"/>
      <c r="O726" s="37"/>
      <c r="R726" s="37"/>
    </row>
    <row r="727" spans="3:18" ht="16.5">
      <c r="C727" s="37"/>
      <c r="F727" s="37"/>
      <c r="I727" s="37"/>
      <c r="L727" s="37"/>
      <c r="O727" s="37"/>
      <c r="R727" s="37"/>
    </row>
    <row r="728" spans="3:18" ht="16.5">
      <c r="C728" s="37"/>
      <c r="F728" s="37"/>
      <c r="I728" s="37"/>
      <c r="L728" s="37"/>
      <c r="O728" s="37"/>
      <c r="R728" s="37"/>
    </row>
    <row r="729" spans="3:18" ht="16.5">
      <c r="C729" s="37"/>
      <c r="F729" s="37"/>
      <c r="I729" s="37"/>
      <c r="L729" s="37"/>
      <c r="O729" s="37"/>
      <c r="R729" s="37"/>
    </row>
    <row r="730" spans="3:18" ht="16.5">
      <c r="C730" s="37"/>
      <c r="F730" s="37"/>
      <c r="I730" s="37"/>
      <c r="L730" s="37"/>
      <c r="O730" s="37"/>
      <c r="R730" s="37"/>
    </row>
    <row r="731" spans="3:18" ht="16.5">
      <c r="C731" s="37"/>
      <c r="F731" s="37"/>
      <c r="I731" s="37"/>
      <c r="L731" s="37"/>
      <c r="O731" s="37"/>
      <c r="R731" s="37"/>
    </row>
    <row r="732" spans="3:18" ht="16.5">
      <c r="C732" s="37"/>
      <c r="F732" s="37"/>
      <c r="I732" s="37"/>
      <c r="L732" s="37"/>
      <c r="O732" s="37"/>
      <c r="R732" s="37"/>
    </row>
    <row r="733" spans="3:18" ht="16.5">
      <c r="C733" s="37"/>
      <c r="F733" s="37"/>
      <c r="I733" s="37"/>
      <c r="L733" s="37"/>
      <c r="O733" s="37"/>
      <c r="R733" s="37"/>
    </row>
    <row r="734" spans="3:18" ht="16.5">
      <c r="C734" s="37"/>
      <c r="F734" s="37"/>
      <c r="I734" s="37"/>
      <c r="L734" s="37"/>
      <c r="O734" s="37"/>
      <c r="R734" s="37"/>
    </row>
    <row r="735" spans="3:18" ht="16.5">
      <c r="C735" s="37"/>
      <c r="F735" s="37"/>
      <c r="I735" s="37"/>
      <c r="L735" s="37"/>
      <c r="O735" s="37"/>
      <c r="R735" s="37"/>
    </row>
    <row r="736" spans="3:18" ht="16.5">
      <c r="C736" s="37"/>
      <c r="F736" s="37"/>
      <c r="I736" s="37"/>
      <c r="L736" s="37"/>
      <c r="O736" s="37"/>
      <c r="R736" s="37"/>
    </row>
    <row r="737" spans="3:18" ht="16.5">
      <c r="C737" s="37"/>
      <c r="F737" s="37"/>
      <c r="I737" s="37"/>
      <c r="L737" s="37"/>
      <c r="O737" s="37"/>
      <c r="R737" s="37"/>
    </row>
    <row r="738" spans="3:18" ht="16.5">
      <c r="C738" s="37"/>
      <c r="F738" s="37"/>
      <c r="I738" s="37"/>
      <c r="L738" s="37"/>
      <c r="O738" s="37"/>
      <c r="R738" s="37"/>
    </row>
    <row r="739" spans="3:18" ht="16.5">
      <c r="C739" s="37"/>
      <c r="F739" s="37"/>
      <c r="I739" s="37"/>
      <c r="L739" s="37"/>
      <c r="O739" s="37"/>
      <c r="R739" s="37"/>
    </row>
    <row r="740" spans="3:18" ht="16.5">
      <c r="C740" s="37"/>
      <c r="F740" s="37"/>
      <c r="I740" s="37"/>
      <c r="L740" s="37"/>
      <c r="O740" s="37"/>
      <c r="R740" s="37"/>
    </row>
    <row r="741" spans="3:18" ht="16.5">
      <c r="C741" s="37"/>
      <c r="F741" s="37"/>
      <c r="I741" s="37"/>
      <c r="L741" s="37"/>
      <c r="O741" s="37"/>
      <c r="R741" s="37"/>
    </row>
    <row r="742" spans="3:18" ht="16.5">
      <c r="C742" s="37"/>
      <c r="F742" s="37"/>
      <c r="I742" s="37"/>
      <c r="L742" s="37"/>
      <c r="O742" s="37"/>
      <c r="R742" s="37"/>
    </row>
    <row r="743" spans="3:18" ht="16.5">
      <c r="C743" s="37"/>
      <c r="F743" s="37"/>
      <c r="I743" s="37"/>
      <c r="L743" s="37"/>
      <c r="O743" s="37"/>
      <c r="R743" s="37"/>
    </row>
    <row r="744" spans="3:18" ht="16.5">
      <c r="C744" s="37"/>
      <c r="F744" s="37"/>
      <c r="I744" s="37"/>
      <c r="L744" s="37"/>
      <c r="O744" s="37"/>
      <c r="R744" s="37"/>
    </row>
    <row r="745" spans="3:18" ht="16.5">
      <c r="C745" s="37"/>
      <c r="F745" s="37"/>
      <c r="I745" s="37"/>
      <c r="L745" s="37"/>
      <c r="O745" s="37"/>
      <c r="R745" s="37"/>
    </row>
    <row r="746" spans="3:18" ht="16.5">
      <c r="C746" s="37"/>
      <c r="F746" s="37"/>
      <c r="I746" s="37"/>
      <c r="L746" s="37"/>
      <c r="O746" s="37"/>
      <c r="R746" s="37"/>
    </row>
    <row r="747" spans="3:18" ht="16.5">
      <c r="C747" s="37"/>
      <c r="F747" s="37"/>
      <c r="I747" s="37"/>
      <c r="L747" s="37"/>
      <c r="O747" s="37"/>
      <c r="R747" s="37"/>
    </row>
    <row r="748" spans="3:18" ht="16.5">
      <c r="C748" s="37"/>
      <c r="F748" s="37"/>
      <c r="I748" s="37"/>
      <c r="L748" s="37"/>
      <c r="O748" s="37"/>
      <c r="R748" s="37"/>
    </row>
    <row r="749" spans="3:18" ht="16.5">
      <c r="C749" s="37"/>
      <c r="F749" s="37"/>
      <c r="I749" s="37"/>
      <c r="L749" s="37"/>
      <c r="O749" s="37"/>
      <c r="R749" s="37"/>
    </row>
    <row r="750" spans="3:18" ht="16.5">
      <c r="C750" s="37"/>
      <c r="F750" s="37"/>
      <c r="I750" s="37"/>
      <c r="L750" s="37"/>
      <c r="O750" s="37"/>
      <c r="R750" s="37"/>
    </row>
    <row r="751" spans="3:18" ht="16.5">
      <c r="C751" s="37"/>
      <c r="F751" s="37"/>
      <c r="I751" s="37"/>
      <c r="L751" s="37"/>
      <c r="O751" s="37"/>
      <c r="R751" s="37"/>
    </row>
    <row r="752" spans="3:18" ht="16.5">
      <c r="C752" s="37"/>
      <c r="F752" s="37"/>
      <c r="I752" s="37"/>
      <c r="L752" s="37"/>
      <c r="O752" s="37"/>
      <c r="R752" s="37"/>
    </row>
    <row r="753" spans="3:18" ht="16.5">
      <c r="C753" s="37"/>
      <c r="F753" s="37"/>
      <c r="I753" s="37"/>
      <c r="L753" s="37"/>
      <c r="O753" s="37"/>
      <c r="R753" s="37"/>
    </row>
    <row r="754" spans="3:18" ht="16.5">
      <c r="C754" s="37"/>
      <c r="F754" s="37"/>
      <c r="I754" s="37"/>
      <c r="L754" s="37"/>
      <c r="O754" s="37"/>
      <c r="R754" s="37"/>
    </row>
    <row r="755" spans="3:18" ht="16.5">
      <c r="C755" s="37"/>
      <c r="F755" s="37"/>
      <c r="I755" s="37"/>
      <c r="L755" s="37"/>
      <c r="O755" s="37"/>
      <c r="R755" s="37"/>
    </row>
    <row r="756" spans="3:18" ht="16.5">
      <c r="C756" s="37"/>
      <c r="F756" s="37"/>
      <c r="I756" s="37"/>
      <c r="L756" s="37"/>
      <c r="O756" s="37"/>
      <c r="R756" s="37"/>
    </row>
    <row r="757" spans="3:18" ht="16.5">
      <c r="C757" s="37"/>
      <c r="F757" s="37"/>
      <c r="I757" s="37"/>
      <c r="L757" s="37"/>
      <c r="O757" s="37"/>
      <c r="R757" s="37"/>
    </row>
    <row r="758" spans="3:18" ht="16.5">
      <c r="C758" s="37"/>
      <c r="F758" s="37"/>
      <c r="I758" s="37"/>
      <c r="L758" s="37"/>
      <c r="O758" s="37"/>
      <c r="R758" s="37"/>
    </row>
    <row r="759" spans="3:18" ht="16.5">
      <c r="C759" s="37"/>
      <c r="F759" s="37"/>
      <c r="I759" s="37"/>
      <c r="L759" s="37"/>
      <c r="O759" s="37"/>
      <c r="R759" s="37"/>
    </row>
    <row r="760" spans="3:18" ht="16.5">
      <c r="C760" s="37"/>
      <c r="F760" s="37"/>
      <c r="I760" s="37"/>
      <c r="L760" s="37"/>
      <c r="O760" s="37"/>
      <c r="R760" s="37"/>
    </row>
    <row r="761" spans="3:18" ht="16.5">
      <c r="C761" s="37"/>
      <c r="F761" s="37"/>
      <c r="I761" s="37"/>
      <c r="L761" s="37"/>
      <c r="O761" s="37"/>
      <c r="R761" s="37"/>
    </row>
    <row r="762" spans="3:18" ht="16.5">
      <c r="C762" s="37"/>
      <c r="F762" s="37"/>
      <c r="I762" s="37"/>
      <c r="L762" s="37"/>
      <c r="O762" s="37"/>
      <c r="R762" s="37"/>
    </row>
    <row r="763" spans="3:18" ht="16.5">
      <c r="C763" s="37"/>
      <c r="F763" s="37"/>
      <c r="I763" s="37"/>
      <c r="L763" s="37"/>
      <c r="O763" s="37"/>
      <c r="R763" s="37"/>
    </row>
    <row r="764" spans="3:18" ht="16.5">
      <c r="C764" s="37"/>
      <c r="F764" s="37"/>
      <c r="I764" s="37"/>
      <c r="L764" s="37"/>
      <c r="O764" s="37"/>
      <c r="R764" s="37"/>
    </row>
    <row r="765" spans="3:18" ht="16.5">
      <c r="C765" s="37"/>
      <c r="F765" s="37"/>
      <c r="I765" s="37"/>
      <c r="L765" s="37"/>
      <c r="O765" s="37"/>
      <c r="R765" s="37"/>
    </row>
    <row r="766" spans="3:18" ht="16.5">
      <c r="C766" s="37"/>
      <c r="F766" s="37"/>
      <c r="I766" s="37"/>
      <c r="L766" s="37"/>
      <c r="O766" s="37"/>
      <c r="R766" s="37"/>
    </row>
    <row r="767" spans="3:18" ht="16.5">
      <c r="C767" s="37"/>
      <c r="F767" s="37"/>
      <c r="I767" s="37"/>
      <c r="L767" s="37"/>
      <c r="O767" s="37"/>
      <c r="R767" s="37"/>
    </row>
    <row r="768" spans="3:18" ht="16.5">
      <c r="C768" s="37"/>
      <c r="F768" s="37"/>
      <c r="I768" s="37"/>
      <c r="L768" s="37"/>
      <c r="O768" s="37"/>
      <c r="R768" s="37"/>
    </row>
    <row r="769" spans="3:18" ht="16.5">
      <c r="C769" s="37"/>
      <c r="F769" s="37"/>
      <c r="I769" s="37"/>
      <c r="L769" s="37"/>
      <c r="O769" s="37"/>
      <c r="R769" s="37"/>
    </row>
    <row r="770" spans="3:18" ht="16.5">
      <c r="C770" s="37"/>
      <c r="F770" s="37"/>
      <c r="I770" s="37"/>
      <c r="L770" s="37"/>
      <c r="O770" s="37"/>
      <c r="R770" s="37"/>
    </row>
    <row r="771" spans="3:18" ht="16.5">
      <c r="C771" s="37"/>
      <c r="F771" s="37"/>
      <c r="I771" s="37"/>
      <c r="L771" s="37"/>
      <c r="O771" s="37"/>
      <c r="R771" s="37"/>
    </row>
    <row r="772" spans="3:18" ht="16.5">
      <c r="C772" s="37"/>
      <c r="F772" s="37"/>
      <c r="I772" s="37"/>
      <c r="L772" s="37"/>
      <c r="O772" s="37"/>
      <c r="R772" s="37"/>
    </row>
    <row r="773" spans="3:18" ht="16.5">
      <c r="C773" s="37"/>
      <c r="F773" s="37"/>
      <c r="I773" s="37"/>
      <c r="L773" s="37"/>
      <c r="O773" s="37"/>
      <c r="R773" s="37"/>
    </row>
    <row r="774" spans="3:18" ht="16.5">
      <c r="C774" s="37"/>
      <c r="F774" s="37"/>
      <c r="I774" s="37"/>
      <c r="L774" s="37"/>
      <c r="O774" s="37"/>
      <c r="R774" s="37"/>
    </row>
    <row r="775" spans="3:18" ht="16.5">
      <c r="C775" s="37"/>
      <c r="F775" s="37"/>
      <c r="I775" s="37"/>
      <c r="L775" s="37"/>
      <c r="O775" s="37"/>
      <c r="R775" s="37"/>
    </row>
    <row r="776" spans="3:18" ht="16.5">
      <c r="C776" s="37"/>
      <c r="F776" s="37"/>
      <c r="I776" s="37"/>
      <c r="L776" s="37"/>
      <c r="O776" s="37"/>
      <c r="R776" s="37"/>
    </row>
    <row r="777" spans="3:18" ht="16.5">
      <c r="C777" s="37"/>
      <c r="F777" s="37"/>
      <c r="I777" s="37"/>
      <c r="L777" s="37"/>
      <c r="O777" s="37"/>
      <c r="R777" s="37"/>
    </row>
    <row r="778" spans="3:18" ht="16.5">
      <c r="C778" s="37"/>
      <c r="F778" s="37"/>
      <c r="I778" s="37"/>
      <c r="L778" s="37"/>
      <c r="O778" s="37"/>
      <c r="R778" s="37"/>
    </row>
    <row r="779" spans="3:18" ht="16.5">
      <c r="C779" s="37"/>
      <c r="F779" s="37"/>
      <c r="I779" s="37"/>
      <c r="L779" s="37"/>
      <c r="O779" s="37"/>
      <c r="R779" s="37"/>
    </row>
    <row r="780" spans="3:18" ht="16.5">
      <c r="C780" s="37"/>
      <c r="F780" s="37"/>
      <c r="I780" s="37"/>
      <c r="L780" s="37"/>
      <c r="O780" s="37"/>
      <c r="R780" s="37"/>
    </row>
    <row r="781" spans="3:18" ht="16.5">
      <c r="C781" s="37"/>
      <c r="F781" s="37"/>
      <c r="I781" s="37"/>
      <c r="L781" s="37"/>
      <c r="O781" s="37"/>
      <c r="R781" s="37"/>
    </row>
    <row r="782" spans="3:18" ht="16.5">
      <c r="C782" s="37"/>
      <c r="F782" s="37"/>
      <c r="I782" s="37"/>
      <c r="L782" s="37"/>
      <c r="O782" s="37"/>
      <c r="R782" s="37"/>
    </row>
    <row r="783" spans="3:18" ht="16.5">
      <c r="C783" s="37"/>
      <c r="F783" s="37"/>
      <c r="I783" s="37"/>
      <c r="L783" s="37"/>
      <c r="O783" s="37"/>
      <c r="R783" s="37"/>
    </row>
    <row r="784" spans="3:18" ht="16.5">
      <c r="C784" s="37"/>
      <c r="F784" s="37"/>
      <c r="I784" s="37"/>
      <c r="L784" s="37"/>
      <c r="O784" s="37"/>
      <c r="R784" s="37"/>
    </row>
    <row r="785" spans="3:18" ht="16.5">
      <c r="C785" s="37"/>
      <c r="F785" s="37"/>
      <c r="I785" s="37"/>
      <c r="L785" s="37"/>
      <c r="O785" s="37"/>
      <c r="R785" s="37"/>
    </row>
    <row r="786" spans="3:18" ht="16.5">
      <c r="C786" s="37"/>
      <c r="F786" s="37"/>
      <c r="I786" s="37"/>
      <c r="L786" s="37"/>
      <c r="O786" s="37"/>
      <c r="R786" s="37"/>
    </row>
    <row r="787" spans="3:18" ht="16.5">
      <c r="C787" s="37"/>
      <c r="F787" s="37"/>
      <c r="I787" s="37"/>
      <c r="L787" s="37"/>
      <c r="O787" s="37"/>
      <c r="R787" s="37"/>
    </row>
    <row r="788" spans="3:18" ht="16.5">
      <c r="C788" s="37"/>
      <c r="F788" s="37"/>
      <c r="I788" s="37"/>
      <c r="L788" s="37"/>
      <c r="O788" s="37"/>
      <c r="R788" s="37"/>
    </row>
    <row r="789" spans="3:18" ht="16.5">
      <c r="C789" s="37"/>
      <c r="F789" s="37"/>
      <c r="I789" s="37"/>
      <c r="L789" s="37"/>
      <c r="O789" s="37"/>
      <c r="R789" s="37"/>
    </row>
    <row r="790" spans="3:18" ht="16.5">
      <c r="C790" s="37"/>
      <c r="F790" s="37"/>
      <c r="I790" s="37"/>
      <c r="L790" s="37"/>
      <c r="O790" s="37"/>
      <c r="R790" s="37"/>
    </row>
    <row r="791" spans="3:18" ht="16.5">
      <c r="C791" s="37"/>
      <c r="F791" s="37"/>
      <c r="I791" s="37"/>
      <c r="L791" s="37"/>
      <c r="O791" s="37"/>
      <c r="R791" s="37"/>
    </row>
    <row r="792" spans="3:18" ht="16.5">
      <c r="C792" s="37"/>
      <c r="F792" s="37"/>
      <c r="I792" s="37"/>
      <c r="L792" s="37"/>
      <c r="O792" s="37"/>
      <c r="R792" s="37"/>
    </row>
    <row r="793" spans="3:18" ht="16.5">
      <c r="C793" s="37"/>
      <c r="F793" s="37"/>
      <c r="I793" s="37"/>
      <c r="L793" s="37"/>
      <c r="O793" s="37"/>
      <c r="R793" s="37"/>
    </row>
    <row r="794" spans="3:18" ht="16.5">
      <c r="C794" s="37"/>
      <c r="F794" s="37"/>
      <c r="I794" s="37"/>
      <c r="L794" s="37"/>
      <c r="O794" s="37"/>
      <c r="R794" s="37"/>
    </row>
    <row r="795" spans="3:18" ht="16.5">
      <c r="C795" s="37"/>
      <c r="F795" s="37"/>
      <c r="I795" s="37"/>
      <c r="L795" s="37"/>
      <c r="O795" s="37"/>
      <c r="R795" s="37"/>
    </row>
    <row r="796" spans="3:18" ht="16.5">
      <c r="C796" s="37"/>
      <c r="F796" s="37"/>
      <c r="I796" s="37"/>
      <c r="L796" s="37"/>
      <c r="O796" s="37"/>
      <c r="R796" s="37"/>
    </row>
    <row r="797" spans="3:18" ht="16.5">
      <c r="C797" s="37"/>
      <c r="F797" s="37"/>
      <c r="I797" s="37"/>
      <c r="L797" s="37"/>
      <c r="O797" s="37"/>
      <c r="R797" s="37"/>
    </row>
    <row r="798" spans="3:18" ht="16.5">
      <c r="C798" s="37"/>
      <c r="F798" s="37"/>
      <c r="I798" s="37"/>
      <c r="L798" s="37"/>
      <c r="O798" s="37"/>
      <c r="R798" s="37"/>
    </row>
    <row r="799" spans="3:18" ht="16.5">
      <c r="C799" s="37"/>
      <c r="F799" s="37"/>
      <c r="I799" s="37"/>
      <c r="L799" s="37"/>
      <c r="O799" s="37"/>
      <c r="R799" s="37"/>
    </row>
    <row r="800" spans="3:18" ht="16.5">
      <c r="C800" s="37"/>
      <c r="F800" s="37"/>
      <c r="I800" s="37"/>
      <c r="L800" s="37"/>
      <c r="O800" s="37"/>
      <c r="R800" s="37"/>
    </row>
    <row r="801" spans="3:18" ht="16.5">
      <c r="C801" s="37"/>
      <c r="F801" s="37"/>
      <c r="I801" s="37"/>
      <c r="L801" s="37"/>
      <c r="O801" s="37"/>
      <c r="R801" s="37"/>
    </row>
    <row r="802" spans="3:18" ht="16.5">
      <c r="C802" s="37"/>
      <c r="F802" s="37"/>
      <c r="I802" s="37"/>
      <c r="L802" s="37"/>
      <c r="O802" s="37"/>
      <c r="R802" s="37"/>
    </row>
    <row r="803" spans="3:18" ht="16.5">
      <c r="C803" s="37"/>
      <c r="F803" s="37"/>
      <c r="I803" s="37"/>
      <c r="L803" s="37"/>
      <c r="O803" s="37"/>
      <c r="R803" s="37"/>
    </row>
    <row r="804" spans="3:18" ht="16.5">
      <c r="C804" s="37"/>
      <c r="F804" s="37"/>
      <c r="I804" s="37"/>
      <c r="L804" s="37"/>
      <c r="O804" s="37"/>
      <c r="R804" s="37"/>
    </row>
    <row r="805" spans="3:18" ht="16.5">
      <c r="C805" s="37"/>
      <c r="F805" s="37"/>
      <c r="I805" s="37"/>
      <c r="L805" s="37"/>
      <c r="O805" s="37"/>
      <c r="R805" s="37"/>
    </row>
    <row r="806" spans="3:18" ht="16.5">
      <c r="C806" s="37"/>
      <c r="F806" s="37"/>
      <c r="I806" s="37"/>
      <c r="L806" s="37"/>
      <c r="O806" s="37"/>
      <c r="R806" s="37"/>
    </row>
    <row r="807" spans="3:18" ht="16.5">
      <c r="C807" s="37"/>
      <c r="F807" s="37"/>
      <c r="I807" s="37"/>
      <c r="L807" s="37"/>
      <c r="O807" s="37"/>
      <c r="R807" s="37"/>
    </row>
    <row r="808" spans="3:18" ht="16.5">
      <c r="C808" s="37"/>
      <c r="F808" s="37"/>
      <c r="I808" s="37"/>
      <c r="L808" s="37"/>
      <c r="O808" s="37"/>
      <c r="R808" s="37"/>
    </row>
    <row r="809" spans="3:18" ht="16.5">
      <c r="C809" s="37"/>
      <c r="F809" s="37"/>
      <c r="I809" s="37"/>
      <c r="L809" s="37"/>
      <c r="O809" s="37"/>
      <c r="R809" s="37"/>
    </row>
    <row r="810" spans="3:18" ht="16.5">
      <c r="C810" s="37"/>
      <c r="F810" s="37"/>
      <c r="I810" s="37"/>
      <c r="L810" s="37"/>
      <c r="O810" s="37"/>
      <c r="R810" s="37"/>
    </row>
    <row r="811" spans="3:18" ht="16.5">
      <c r="C811" s="37"/>
      <c r="F811" s="37"/>
      <c r="I811" s="37"/>
      <c r="L811" s="37"/>
      <c r="O811" s="37"/>
      <c r="R811" s="37"/>
    </row>
    <row r="812" spans="3:18" ht="16.5">
      <c r="C812" s="37"/>
      <c r="F812" s="37"/>
      <c r="I812" s="37"/>
      <c r="L812" s="37"/>
      <c r="O812" s="37"/>
      <c r="R812" s="37"/>
    </row>
    <row r="813" spans="3:18" ht="16.5">
      <c r="C813" s="37"/>
      <c r="F813" s="37"/>
      <c r="I813" s="37"/>
      <c r="L813" s="37"/>
      <c r="O813" s="37"/>
      <c r="R813" s="37"/>
    </row>
    <row r="814" spans="3:18" ht="16.5">
      <c r="C814" s="37"/>
      <c r="F814" s="37"/>
      <c r="I814" s="37"/>
      <c r="L814" s="37"/>
      <c r="O814" s="37"/>
      <c r="R814" s="37"/>
    </row>
    <row r="815" spans="3:18" ht="16.5">
      <c r="C815" s="37"/>
      <c r="F815" s="37"/>
      <c r="I815" s="37"/>
      <c r="L815" s="37"/>
      <c r="O815" s="37"/>
      <c r="R815" s="37"/>
    </row>
    <row r="816" spans="3:18" ht="16.5">
      <c r="C816" s="37"/>
      <c r="F816" s="37"/>
      <c r="I816" s="37"/>
      <c r="L816" s="37"/>
      <c r="O816" s="37"/>
      <c r="R816" s="37"/>
    </row>
    <row r="817" spans="3:18" ht="16.5">
      <c r="C817" s="37"/>
      <c r="F817" s="37"/>
      <c r="I817" s="37"/>
      <c r="L817" s="37"/>
      <c r="O817" s="37"/>
      <c r="R817" s="37"/>
    </row>
    <row r="818" spans="3:18" ht="16.5">
      <c r="C818" s="37"/>
      <c r="F818" s="37"/>
      <c r="I818" s="37"/>
      <c r="L818" s="37"/>
      <c r="O818" s="37"/>
      <c r="R818" s="37"/>
    </row>
    <row r="819" spans="3:18" ht="16.5">
      <c r="C819" s="37"/>
      <c r="F819" s="37"/>
      <c r="I819" s="37"/>
      <c r="L819" s="37"/>
      <c r="O819" s="37"/>
      <c r="R819" s="37"/>
    </row>
    <row r="820" spans="3:18" ht="16.5">
      <c r="C820" s="37"/>
      <c r="F820" s="37"/>
      <c r="I820" s="37"/>
      <c r="L820" s="37"/>
      <c r="O820" s="37"/>
      <c r="R820" s="37"/>
    </row>
    <row r="821" spans="3:18" ht="16.5">
      <c r="C821" s="37"/>
      <c r="F821" s="37"/>
      <c r="I821" s="37"/>
      <c r="L821" s="37"/>
      <c r="O821" s="37"/>
      <c r="R821" s="37"/>
    </row>
    <row r="822" spans="3:18" ht="16.5">
      <c r="C822" s="37"/>
      <c r="F822" s="37"/>
      <c r="I822" s="37"/>
      <c r="L822" s="37"/>
      <c r="O822" s="37"/>
      <c r="R822" s="37"/>
    </row>
    <row r="823" spans="3:18" ht="16.5">
      <c r="C823" s="37"/>
      <c r="F823" s="37"/>
      <c r="I823" s="37"/>
      <c r="L823" s="37"/>
      <c r="O823" s="37"/>
      <c r="R823" s="37"/>
    </row>
    <row r="824" spans="3:18" ht="16.5">
      <c r="C824" s="37"/>
      <c r="F824" s="37"/>
      <c r="I824" s="37"/>
      <c r="L824" s="37"/>
      <c r="O824" s="37"/>
      <c r="R824" s="37"/>
    </row>
    <row r="825" spans="3:18" ht="16.5">
      <c r="C825" s="37"/>
      <c r="F825" s="37"/>
      <c r="I825" s="37"/>
      <c r="L825" s="37"/>
      <c r="O825" s="37"/>
      <c r="R825" s="37"/>
    </row>
    <row r="826" spans="3:18" ht="16.5">
      <c r="C826" s="37"/>
      <c r="F826" s="37"/>
      <c r="I826" s="37"/>
      <c r="L826" s="37"/>
      <c r="O826" s="37"/>
      <c r="R826" s="37"/>
    </row>
    <row r="827" spans="3:18" ht="16.5">
      <c r="C827" s="37"/>
      <c r="F827" s="37"/>
      <c r="I827" s="37"/>
      <c r="L827" s="37"/>
      <c r="O827" s="37"/>
      <c r="R827" s="37"/>
    </row>
    <row r="828" spans="3:18" ht="16.5">
      <c r="C828" s="37"/>
      <c r="F828" s="37"/>
      <c r="I828" s="37"/>
      <c r="L828" s="37"/>
      <c r="O828" s="37"/>
      <c r="R828" s="37"/>
    </row>
    <row r="829" spans="3:18" ht="16.5">
      <c r="C829" s="37"/>
      <c r="F829" s="37"/>
      <c r="I829" s="37"/>
      <c r="L829" s="37"/>
      <c r="O829" s="37"/>
      <c r="R829" s="37"/>
    </row>
    <row r="830" spans="3:18" ht="16.5">
      <c r="C830" s="37"/>
      <c r="F830" s="37"/>
      <c r="I830" s="37"/>
      <c r="L830" s="37"/>
      <c r="O830" s="37"/>
      <c r="R830" s="37"/>
    </row>
    <row r="831" spans="3:18" ht="16.5">
      <c r="C831" s="37"/>
      <c r="F831" s="37"/>
      <c r="I831" s="37"/>
      <c r="L831" s="37"/>
      <c r="O831" s="37"/>
      <c r="R831" s="37"/>
    </row>
    <row r="832" spans="3:18" ht="16.5">
      <c r="C832" s="37"/>
      <c r="F832" s="37"/>
      <c r="I832" s="37"/>
      <c r="L832" s="37"/>
      <c r="O832" s="37"/>
      <c r="R832" s="37"/>
    </row>
    <row r="833" spans="3:18" ht="16.5">
      <c r="C833" s="37"/>
      <c r="F833" s="37"/>
      <c r="I833" s="37"/>
      <c r="L833" s="37"/>
      <c r="O833" s="37"/>
      <c r="R833" s="37"/>
    </row>
    <row r="834" spans="3:18" ht="16.5">
      <c r="C834" s="37"/>
      <c r="F834" s="37"/>
      <c r="I834" s="37"/>
      <c r="L834" s="37"/>
      <c r="O834" s="37"/>
      <c r="R834" s="37"/>
    </row>
    <row r="835" spans="3:18" ht="16.5">
      <c r="C835" s="37"/>
      <c r="F835" s="37"/>
      <c r="I835" s="37"/>
      <c r="L835" s="37"/>
      <c r="O835" s="37"/>
      <c r="R835" s="37"/>
    </row>
    <row r="836" spans="3:18" ht="16.5">
      <c r="C836" s="37"/>
      <c r="F836" s="37"/>
      <c r="I836" s="37"/>
      <c r="L836" s="37"/>
      <c r="O836" s="37"/>
      <c r="R836" s="37"/>
    </row>
    <row r="837" spans="3:18" ht="16.5">
      <c r="C837" s="37"/>
      <c r="F837" s="37"/>
      <c r="I837" s="37"/>
      <c r="L837" s="37"/>
      <c r="O837" s="37"/>
      <c r="R837" s="37"/>
    </row>
    <row r="838" spans="3:18" ht="16.5">
      <c r="C838" s="37"/>
      <c r="F838" s="37"/>
      <c r="I838" s="37"/>
      <c r="L838" s="37"/>
      <c r="O838" s="37"/>
      <c r="R838" s="37"/>
    </row>
    <row r="839" spans="3:18" ht="16.5">
      <c r="C839" s="37"/>
      <c r="F839" s="37"/>
      <c r="I839" s="37"/>
      <c r="L839" s="37"/>
      <c r="O839" s="37"/>
      <c r="R839" s="37"/>
    </row>
    <row r="840" spans="3:18" ht="16.5">
      <c r="C840" s="37"/>
      <c r="F840" s="37"/>
      <c r="I840" s="37"/>
      <c r="L840" s="37"/>
      <c r="O840" s="37"/>
      <c r="R840" s="37"/>
    </row>
    <row r="841" spans="3:18" ht="16.5">
      <c r="C841" s="37"/>
      <c r="F841" s="37"/>
      <c r="I841" s="37"/>
      <c r="L841" s="37"/>
      <c r="O841" s="37"/>
      <c r="R841" s="37"/>
    </row>
    <row r="842" spans="3:18" ht="16.5">
      <c r="C842" s="37"/>
      <c r="F842" s="37"/>
      <c r="I842" s="37"/>
      <c r="L842" s="37"/>
      <c r="O842" s="37"/>
      <c r="R842" s="37"/>
    </row>
    <row r="843" spans="3:18" ht="16.5">
      <c r="C843" s="37"/>
      <c r="F843" s="37"/>
      <c r="I843" s="37"/>
      <c r="L843" s="37"/>
      <c r="O843" s="37"/>
      <c r="R843" s="37"/>
    </row>
    <row r="844" spans="3:18" ht="16.5">
      <c r="C844" s="37"/>
      <c r="F844" s="37"/>
      <c r="I844" s="37"/>
      <c r="L844" s="37"/>
      <c r="O844" s="37"/>
      <c r="R844" s="37"/>
    </row>
    <row r="845" spans="3:18" ht="16.5">
      <c r="C845" s="37"/>
      <c r="F845" s="37"/>
      <c r="I845" s="37"/>
      <c r="L845" s="37"/>
      <c r="O845" s="37"/>
      <c r="R845" s="37"/>
    </row>
    <row r="846" spans="3:18" ht="16.5">
      <c r="C846" s="37"/>
      <c r="F846" s="37"/>
      <c r="I846" s="37"/>
      <c r="L846" s="37"/>
      <c r="O846" s="37"/>
      <c r="R846" s="37"/>
    </row>
    <row r="847" spans="3:18" ht="16.5">
      <c r="C847" s="37"/>
      <c r="F847" s="37"/>
      <c r="I847" s="37"/>
      <c r="L847" s="37"/>
      <c r="O847" s="37"/>
      <c r="R847" s="37"/>
    </row>
    <row r="848" spans="3:18" ht="16.5">
      <c r="C848" s="37"/>
      <c r="F848" s="37"/>
      <c r="I848" s="37"/>
      <c r="L848" s="37"/>
      <c r="O848" s="37"/>
      <c r="R848" s="37"/>
    </row>
    <row r="849" spans="3:18" ht="16.5">
      <c r="C849" s="37"/>
      <c r="F849" s="37"/>
      <c r="I849" s="37"/>
      <c r="L849" s="37"/>
      <c r="O849" s="37"/>
      <c r="R849" s="37"/>
    </row>
    <row r="850" spans="3:18" ht="16.5">
      <c r="C850" s="37"/>
      <c r="F850" s="37"/>
      <c r="I850" s="37"/>
      <c r="L850" s="37"/>
      <c r="O850" s="37"/>
      <c r="R850" s="37"/>
    </row>
    <row r="851" spans="3:18" ht="16.5">
      <c r="C851" s="37"/>
      <c r="F851" s="37"/>
      <c r="I851" s="37"/>
      <c r="L851" s="37"/>
      <c r="O851" s="37"/>
      <c r="R851" s="37"/>
    </row>
    <row r="852" spans="3:18" ht="16.5">
      <c r="C852" s="37"/>
      <c r="F852" s="37"/>
      <c r="I852" s="37"/>
      <c r="L852" s="37"/>
      <c r="O852" s="37"/>
      <c r="R852" s="37"/>
    </row>
    <row r="853" spans="3:18" ht="16.5">
      <c r="C853" s="37"/>
      <c r="F853" s="37"/>
      <c r="I853" s="37"/>
      <c r="L853" s="37"/>
      <c r="O853" s="37"/>
      <c r="R853" s="37"/>
    </row>
    <row r="854" spans="3:18" ht="16.5">
      <c r="C854" s="37"/>
      <c r="F854" s="37"/>
      <c r="I854" s="37"/>
      <c r="L854" s="37"/>
      <c r="O854" s="37"/>
      <c r="R854" s="37"/>
    </row>
    <row r="855" spans="3:18" ht="16.5">
      <c r="C855" s="37"/>
      <c r="F855" s="37"/>
      <c r="I855" s="37"/>
      <c r="L855" s="37"/>
      <c r="O855" s="37"/>
      <c r="R855" s="37"/>
    </row>
    <row r="856" spans="3:18" ht="16.5">
      <c r="C856" s="37"/>
      <c r="F856" s="37"/>
      <c r="I856" s="37"/>
      <c r="L856" s="37"/>
      <c r="O856" s="37"/>
      <c r="R856" s="37"/>
    </row>
    <row r="857" spans="3:18" ht="16.5">
      <c r="C857" s="37"/>
      <c r="F857" s="37"/>
      <c r="I857" s="37"/>
      <c r="L857" s="37"/>
      <c r="O857" s="37"/>
      <c r="R857" s="37"/>
    </row>
    <row r="858" spans="3:18" ht="16.5">
      <c r="C858" s="37"/>
      <c r="F858" s="37"/>
      <c r="I858" s="37"/>
      <c r="L858" s="37"/>
      <c r="O858" s="37"/>
      <c r="R858" s="37"/>
    </row>
    <row r="859" spans="3:18" ht="16.5">
      <c r="C859" s="37"/>
      <c r="F859" s="37"/>
      <c r="I859" s="37"/>
      <c r="L859" s="37"/>
      <c r="O859" s="37"/>
      <c r="R859" s="37"/>
    </row>
    <row r="860" spans="3:18" ht="16.5">
      <c r="C860" s="37"/>
      <c r="F860" s="37"/>
      <c r="I860" s="37"/>
      <c r="L860" s="37"/>
      <c r="O860" s="37"/>
      <c r="R860" s="37"/>
    </row>
    <row r="861" spans="3:18" ht="16.5">
      <c r="C861" s="37"/>
      <c r="F861" s="37"/>
      <c r="I861" s="37"/>
      <c r="L861" s="37"/>
      <c r="O861" s="37"/>
      <c r="R861" s="37"/>
    </row>
    <row r="862" spans="3:18" ht="16.5">
      <c r="C862" s="37"/>
      <c r="F862" s="37"/>
      <c r="I862" s="37"/>
      <c r="L862" s="37"/>
      <c r="O862" s="37"/>
      <c r="R862" s="37"/>
    </row>
    <row r="863" spans="3:18" ht="16.5">
      <c r="C863" s="37"/>
      <c r="F863" s="37"/>
      <c r="I863" s="37"/>
      <c r="L863" s="37"/>
      <c r="O863" s="37"/>
      <c r="R863" s="37"/>
    </row>
    <row r="864" spans="3:18" ht="16.5">
      <c r="C864" s="37"/>
      <c r="F864" s="37"/>
      <c r="I864" s="37"/>
      <c r="L864" s="37"/>
      <c r="O864" s="37"/>
      <c r="R864" s="37"/>
    </row>
    <row r="865" spans="3:18" ht="16.5">
      <c r="C865" s="37"/>
      <c r="F865" s="37"/>
      <c r="I865" s="37"/>
      <c r="L865" s="37"/>
      <c r="O865" s="37"/>
      <c r="R865" s="37"/>
    </row>
    <row r="866" spans="3:18" ht="16.5">
      <c r="C866" s="37"/>
      <c r="F866" s="37"/>
      <c r="I866" s="37"/>
      <c r="L866" s="37"/>
      <c r="O866" s="37"/>
      <c r="R866" s="37"/>
    </row>
    <row r="867" spans="3:18" ht="16.5">
      <c r="C867" s="37"/>
      <c r="F867" s="37"/>
      <c r="I867" s="37"/>
      <c r="L867" s="37"/>
      <c r="O867" s="37"/>
      <c r="R867" s="37"/>
    </row>
    <row r="868" spans="3:18" ht="16.5">
      <c r="C868" s="37"/>
      <c r="F868" s="37"/>
      <c r="I868" s="37"/>
      <c r="L868" s="37"/>
      <c r="O868" s="37"/>
      <c r="R868" s="37"/>
    </row>
    <row r="869" spans="3:18" ht="16.5">
      <c r="C869" s="37"/>
      <c r="F869" s="37"/>
      <c r="I869" s="37"/>
      <c r="L869" s="37"/>
      <c r="O869" s="37"/>
      <c r="R869" s="37"/>
    </row>
    <row r="870" spans="3:18" ht="16.5">
      <c r="C870" s="37"/>
      <c r="F870" s="37"/>
      <c r="I870" s="37"/>
      <c r="L870" s="37"/>
      <c r="O870" s="37"/>
      <c r="R870" s="37"/>
    </row>
    <row r="871" spans="3:18" ht="16.5">
      <c r="C871" s="37"/>
      <c r="F871" s="37"/>
      <c r="I871" s="37"/>
      <c r="L871" s="37"/>
      <c r="O871" s="37"/>
      <c r="R871" s="37"/>
    </row>
    <row r="872" spans="3:18" ht="16.5">
      <c r="C872" s="37"/>
      <c r="F872" s="37"/>
      <c r="I872" s="37"/>
      <c r="L872" s="37"/>
      <c r="O872" s="37"/>
      <c r="R872" s="37"/>
    </row>
    <row r="873" spans="3:18" ht="16.5">
      <c r="C873" s="37"/>
      <c r="F873" s="37"/>
      <c r="I873" s="37"/>
      <c r="L873" s="37"/>
      <c r="O873" s="37"/>
      <c r="R873" s="37"/>
    </row>
    <row r="874" spans="3:18" ht="16.5">
      <c r="C874" s="37"/>
      <c r="F874" s="37"/>
      <c r="I874" s="37"/>
      <c r="L874" s="37"/>
      <c r="O874" s="37"/>
      <c r="R874" s="37"/>
    </row>
    <row r="875" spans="3:18" ht="16.5">
      <c r="C875" s="37"/>
      <c r="F875" s="37"/>
      <c r="I875" s="37"/>
      <c r="L875" s="37"/>
      <c r="O875" s="37"/>
      <c r="R875" s="37"/>
    </row>
    <row r="876" spans="3:18" ht="16.5">
      <c r="C876" s="37"/>
      <c r="F876" s="37"/>
      <c r="I876" s="37"/>
      <c r="L876" s="37"/>
      <c r="O876" s="37"/>
      <c r="R876" s="37"/>
    </row>
    <row r="877" spans="3:18" ht="16.5">
      <c r="C877" s="37"/>
      <c r="F877" s="37"/>
      <c r="I877" s="37"/>
      <c r="L877" s="37"/>
      <c r="O877" s="37"/>
      <c r="R877" s="37"/>
    </row>
    <row r="878" spans="3:18" ht="16.5">
      <c r="C878" s="37"/>
      <c r="F878" s="37"/>
      <c r="I878" s="37"/>
      <c r="L878" s="37"/>
      <c r="O878" s="37"/>
      <c r="R878" s="37"/>
    </row>
    <row r="879" spans="3:18" ht="16.5">
      <c r="C879" s="37"/>
      <c r="F879" s="37"/>
      <c r="I879" s="37"/>
      <c r="L879" s="37"/>
      <c r="O879" s="37"/>
      <c r="R879" s="37"/>
    </row>
    <row r="880" spans="3:18" ht="16.5">
      <c r="C880" s="37"/>
      <c r="F880" s="37"/>
      <c r="I880" s="37"/>
      <c r="L880" s="37"/>
      <c r="O880" s="37"/>
      <c r="R880" s="37"/>
    </row>
    <row r="881" spans="3:18" ht="16.5">
      <c r="C881" s="37"/>
      <c r="F881" s="37"/>
      <c r="I881" s="37"/>
      <c r="L881" s="37"/>
      <c r="O881" s="37"/>
      <c r="R881" s="37"/>
    </row>
    <row r="882" spans="3:18" ht="16.5">
      <c r="C882" s="37"/>
      <c r="F882" s="37"/>
      <c r="I882" s="37"/>
      <c r="L882" s="37"/>
      <c r="O882" s="37"/>
      <c r="R882" s="37"/>
    </row>
    <row r="883" spans="3:18" ht="16.5">
      <c r="C883" s="37"/>
      <c r="F883" s="37"/>
      <c r="I883" s="37"/>
      <c r="L883" s="37"/>
      <c r="O883" s="37"/>
      <c r="R883" s="37"/>
    </row>
    <row r="884" spans="3:18" ht="16.5">
      <c r="C884" s="37"/>
      <c r="F884" s="37"/>
      <c r="I884" s="37"/>
      <c r="L884" s="37"/>
      <c r="O884" s="37"/>
      <c r="R884" s="37"/>
    </row>
    <row r="885" spans="3:18" ht="16.5">
      <c r="C885" s="37"/>
      <c r="F885" s="37"/>
      <c r="I885" s="37"/>
      <c r="L885" s="37"/>
      <c r="O885" s="37"/>
      <c r="R885" s="37"/>
    </row>
    <row r="886" spans="3:18" ht="16.5">
      <c r="C886" s="37"/>
      <c r="F886" s="37"/>
      <c r="I886" s="37"/>
      <c r="L886" s="37"/>
      <c r="O886" s="37"/>
      <c r="R886" s="37"/>
    </row>
    <row r="887" spans="3:18" ht="16.5">
      <c r="C887" s="37"/>
      <c r="F887" s="37"/>
      <c r="I887" s="37"/>
      <c r="L887" s="37"/>
      <c r="O887" s="37"/>
      <c r="R887" s="37"/>
    </row>
    <row r="888" spans="3:18" ht="16.5">
      <c r="C888" s="37"/>
      <c r="F888" s="37"/>
      <c r="I888" s="37"/>
      <c r="L888" s="37"/>
      <c r="O888" s="37"/>
      <c r="R888" s="37"/>
    </row>
    <row r="889" spans="3:18" ht="16.5">
      <c r="C889" s="37"/>
      <c r="F889" s="37"/>
      <c r="I889" s="37"/>
      <c r="L889" s="37"/>
      <c r="O889" s="37"/>
      <c r="R889" s="37"/>
    </row>
    <row r="890" spans="3:18" ht="16.5">
      <c r="C890" s="37"/>
      <c r="F890" s="37"/>
      <c r="I890" s="37"/>
      <c r="L890" s="37"/>
      <c r="O890" s="37"/>
      <c r="R890" s="37"/>
    </row>
    <row r="891" spans="3:18" ht="16.5">
      <c r="C891" s="37"/>
      <c r="F891" s="37"/>
      <c r="I891" s="37"/>
      <c r="L891" s="37"/>
      <c r="O891" s="37"/>
      <c r="R891" s="37"/>
    </row>
    <row r="892" spans="3:18" ht="16.5">
      <c r="C892" s="37"/>
      <c r="F892" s="37"/>
      <c r="I892" s="37"/>
      <c r="L892" s="37"/>
      <c r="O892" s="37"/>
      <c r="R892" s="37"/>
    </row>
    <row r="893" spans="3:18" ht="16.5">
      <c r="C893" s="37"/>
      <c r="F893" s="37"/>
      <c r="I893" s="37"/>
      <c r="L893" s="37"/>
      <c r="O893" s="37"/>
      <c r="R893" s="37"/>
    </row>
    <row r="894" spans="3:18" ht="16.5">
      <c r="C894" s="37"/>
      <c r="F894" s="37"/>
      <c r="I894" s="37"/>
      <c r="L894" s="37"/>
      <c r="O894" s="37"/>
      <c r="R894" s="37"/>
    </row>
    <row r="895" spans="3:18" ht="16.5">
      <c r="C895" s="37"/>
      <c r="F895" s="37"/>
      <c r="I895" s="37"/>
      <c r="L895" s="37"/>
      <c r="O895" s="37"/>
      <c r="R895" s="37"/>
    </row>
    <row r="896" spans="3:18" ht="16.5">
      <c r="C896" s="37"/>
      <c r="F896" s="37"/>
      <c r="I896" s="37"/>
      <c r="L896" s="37"/>
      <c r="O896" s="37"/>
      <c r="R896" s="37"/>
    </row>
    <row r="897" spans="3:18" ht="16.5">
      <c r="C897" s="37"/>
      <c r="F897" s="37"/>
      <c r="I897" s="37"/>
      <c r="L897" s="37"/>
      <c r="O897" s="37"/>
      <c r="R897" s="37"/>
    </row>
    <row r="898" spans="3:18" ht="16.5">
      <c r="C898" s="37"/>
      <c r="F898" s="37"/>
      <c r="I898" s="37"/>
      <c r="L898" s="37"/>
      <c r="O898" s="37"/>
      <c r="R898" s="37"/>
    </row>
    <row r="899" spans="3:18" ht="16.5">
      <c r="C899" s="37"/>
      <c r="F899" s="37"/>
      <c r="I899" s="37"/>
      <c r="L899" s="37"/>
      <c r="O899" s="37"/>
      <c r="R899" s="37"/>
    </row>
    <row r="900" spans="3:18" ht="16.5">
      <c r="C900" s="37"/>
      <c r="F900" s="37"/>
      <c r="I900" s="37"/>
      <c r="L900" s="37"/>
      <c r="O900" s="37"/>
      <c r="R900" s="37"/>
    </row>
    <row r="901" spans="3:18" ht="16.5">
      <c r="C901" s="37"/>
      <c r="F901" s="37"/>
      <c r="I901" s="37"/>
      <c r="L901" s="37"/>
      <c r="O901" s="37"/>
      <c r="R901" s="37"/>
    </row>
    <row r="902" spans="3:18" ht="16.5">
      <c r="C902" s="37"/>
      <c r="F902" s="37"/>
      <c r="I902" s="37"/>
      <c r="L902" s="37"/>
      <c r="O902" s="37"/>
      <c r="R902" s="37"/>
    </row>
    <row r="903" spans="3:18" ht="16.5">
      <c r="C903" s="37"/>
      <c r="F903" s="37"/>
      <c r="I903" s="37"/>
      <c r="L903" s="37"/>
      <c r="O903" s="37"/>
      <c r="R903" s="37"/>
    </row>
    <row r="904" spans="3:18" ht="16.5">
      <c r="C904" s="37"/>
      <c r="F904" s="37"/>
      <c r="I904" s="37"/>
      <c r="L904" s="37"/>
      <c r="O904" s="37"/>
      <c r="R904" s="37"/>
    </row>
    <row r="905" spans="3:18" ht="16.5">
      <c r="C905" s="37"/>
      <c r="F905" s="37"/>
      <c r="I905" s="37"/>
      <c r="L905" s="37"/>
      <c r="O905" s="37"/>
      <c r="R905" s="37"/>
    </row>
    <row r="906" spans="3:18" ht="16.5">
      <c r="C906" s="37"/>
      <c r="F906" s="37"/>
      <c r="I906" s="37"/>
      <c r="L906" s="37"/>
      <c r="O906" s="37"/>
      <c r="R906" s="37"/>
    </row>
    <row r="907" spans="3:18" ht="16.5">
      <c r="C907" s="37"/>
      <c r="F907" s="37"/>
      <c r="I907" s="37"/>
      <c r="L907" s="37"/>
      <c r="O907" s="37"/>
      <c r="R907" s="37"/>
    </row>
    <row r="908" spans="3:18" ht="16.5">
      <c r="C908" s="37"/>
      <c r="F908" s="37"/>
      <c r="I908" s="37"/>
      <c r="L908" s="37"/>
      <c r="O908" s="37"/>
      <c r="R908" s="37"/>
    </row>
    <row r="909" spans="3:18" ht="16.5">
      <c r="C909" s="37"/>
      <c r="F909" s="37"/>
      <c r="I909" s="37"/>
      <c r="L909" s="37"/>
      <c r="O909" s="37"/>
      <c r="R909" s="37"/>
    </row>
    <row r="910" spans="3:18" ht="16.5">
      <c r="C910" s="37"/>
      <c r="F910" s="37"/>
      <c r="I910" s="37"/>
      <c r="L910" s="37"/>
      <c r="O910" s="37"/>
      <c r="R910" s="37"/>
    </row>
    <row r="911" spans="3:18" ht="16.5">
      <c r="C911" s="37"/>
      <c r="F911" s="37"/>
      <c r="I911" s="37"/>
      <c r="L911" s="37"/>
      <c r="O911" s="37"/>
      <c r="R911" s="37"/>
    </row>
    <row r="912" spans="3:18" ht="16.5">
      <c r="C912" s="37"/>
      <c r="F912" s="37"/>
      <c r="I912" s="37"/>
      <c r="L912" s="37"/>
      <c r="O912" s="37"/>
      <c r="R912" s="37"/>
    </row>
    <row r="913" spans="3:18" ht="16.5">
      <c r="C913" s="37"/>
      <c r="F913" s="37"/>
      <c r="I913" s="37"/>
      <c r="L913" s="37"/>
      <c r="O913" s="37"/>
      <c r="R913" s="37"/>
    </row>
    <row r="914" spans="3:18" ht="16.5">
      <c r="C914" s="37"/>
      <c r="F914" s="37"/>
      <c r="I914" s="37"/>
      <c r="L914" s="37"/>
      <c r="O914" s="37"/>
      <c r="R914" s="37"/>
    </row>
    <row r="915" spans="3:18" ht="16.5">
      <c r="C915" s="37"/>
      <c r="F915" s="37"/>
      <c r="I915" s="37"/>
      <c r="L915" s="37"/>
      <c r="O915" s="37"/>
      <c r="R915" s="37"/>
    </row>
    <row r="916" spans="3:18" ht="16.5">
      <c r="C916" s="37"/>
      <c r="F916" s="37"/>
      <c r="I916" s="37"/>
      <c r="L916" s="37"/>
      <c r="O916" s="37"/>
      <c r="R916" s="37"/>
    </row>
    <row r="917" spans="3:18" ht="16.5">
      <c r="C917" s="37"/>
      <c r="F917" s="37"/>
      <c r="I917" s="37"/>
      <c r="L917" s="37"/>
      <c r="O917" s="37"/>
      <c r="R917" s="37"/>
    </row>
    <row r="918" spans="3:18" ht="16.5">
      <c r="C918" s="37"/>
      <c r="F918" s="37"/>
      <c r="I918" s="37"/>
      <c r="L918" s="37"/>
      <c r="O918" s="37"/>
      <c r="R918" s="37"/>
    </row>
    <row r="919" spans="3:18" ht="16.5">
      <c r="C919" s="37"/>
      <c r="F919" s="37"/>
      <c r="I919" s="37"/>
      <c r="L919" s="37"/>
      <c r="O919" s="37"/>
      <c r="R919" s="37"/>
    </row>
    <row r="920" spans="3:18" ht="16.5">
      <c r="C920" s="37"/>
      <c r="F920" s="37"/>
      <c r="I920" s="37"/>
      <c r="L920" s="37"/>
      <c r="O920" s="37"/>
      <c r="R920" s="37"/>
    </row>
    <row r="921" spans="3:18" ht="16.5">
      <c r="C921" s="37"/>
      <c r="F921" s="37"/>
      <c r="I921" s="37"/>
      <c r="L921" s="37"/>
      <c r="O921" s="37"/>
      <c r="R921" s="37"/>
    </row>
    <row r="922" spans="3:18" ht="16.5">
      <c r="C922" s="37"/>
      <c r="F922" s="37"/>
      <c r="I922" s="37"/>
      <c r="L922" s="37"/>
      <c r="O922" s="37"/>
      <c r="R922" s="37"/>
    </row>
    <row r="923" spans="3:18" ht="16.5">
      <c r="C923" s="37"/>
      <c r="F923" s="37"/>
      <c r="I923" s="37"/>
      <c r="L923" s="37"/>
      <c r="O923" s="37"/>
      <c r="R923" s="37"/>
    </row>
    <row r="924" spans="3:18" ht="16.5">
      <c r="C924" s="37"/>
      <c r="F924" s="37"/>
      <c r="I924" s="37"/>
      <c r="L924" s="37"/>
      <c r="O924" s="37"/>
      <c r="R924" s="37"/>
    </row>
    <row r="925" spans="3:18" ht="16.5">
      <c r="C925" s="37"/>
      <c r="F925" s="37"/>
      <c r="I925" s="37"/>
      <c r="L925" s="37"/>
      <c r="O925" s="37"/>
      <c r="R925" s="37"/>
    </row>
    <row r="926" spans="3:18" ht="16.5">
      <c r="C926" s="37"/>
      <c r="F926" s="37"/>
      <c r="I926" s="37"/>
      <c r="L926" s="37"/>
      <c r="O926" s="37"/>
      <c r="R926" s="37"/>
    </row>
    <row r="927" spans="3:18" ht="16.5">
      <c r="C927" s="37"/>
      <c r="F927" s="37"/>
      <c r="I927" s="37"/>
      <c r="L927" s="37"/>
      <c r="O927" s="37"/>
      <c r="R927" s="37"/>
    </row>
    <row r="928" spans="3:18" ht="16.5">
      <c r="C928" s="37"/>
      <c r="F928" s="37"/>
      <c r="I928" s="37"/>
      <c r="L928" s="37"/>
      <c r="O928" s="37"/>
      <c r="R928" s="37"/>
    </row>
    <row r="929" spans="3:18" ht="16.5">
      <c r="C929" s="37"/>
      <c r="F929" s="37"/>
      <c r="I929" s="37"/>
      <c r="L929" s="37"/>
      <c r="O929" s="37"/>
      <c r="R929" s="37"/>
    </row>
    <row r="930" spans="3:18" ht="16.5">
      <c r="C930" s="37"/>
      <c r="F930" s="37"/>
      <c r="I930" s="37"/>
      <c r="L930" s="37"/>
      <c r="O930" s="37"/>
      <c r="R930" s="37"/>
    </row>
    <row r="931" spans="3:18" ht="16.5">
      <c r="C931" s="37"/>
      <c r="F931" s="37"/>
      <c r="I931" s="37"/>
      <c r="L931" s="37"/>
      <c r="O931" s="37"/>
      <c r="R931" s="37"/>
    </row>
    <row r="932" spans="3:18" ht="16.5">
      <c r="C932" s="37"/>
      <c r="F932" s="37"/>
      <c r="I932" s="37"/>
      <c r="L932" s="37"/>
      <c r="O932" s="37"/>
      <c r="R932" s="37"/>
    </row>
    <row r="933" spans="3:18" ht="16.5">
      <c r="C933" s="37"/>
      <c r="F933" s="37"/>
      <c r="I933" s="37"/>
      <c r="L933" s="37"/>
      <c r="O933" s="37"/>
      <c r="R933" s="37"/>
    </row>
    <row r="934" spans="3:18" ht="16.5">
      <c r="C934" s="37"/>
      <c r="F934" s="37"/>
      <c r="I934" s="37"/>
      <c r="L934" s="37"/>
      <c r="O934" s="37"/>
      <c r="R934" s="37"/>
    </row>
    <row r="935" spans="3:18" ht="16.5">
      <c r="C935" s="37"/>
      <c r="F935" s="37"/>
      <c r="I935" s="37"/>
      <c r="L935" s="37"/>
      <c r="O935" s="37"/>
      <c r="R935" s="37"/>
    </row>
    <row r="936" spans="3:18" ht="16.5">
      <c r="C936" s="37"/>
      <c r="F936" s="37"/>
      <c r="I936" s="37"/>
      <c r="L936" s="37"/>
      <c r="O936" s="37"/>
      <c r="R936" s="37"/>
    </row>
    <row r="937" spans="3:18" ht="16.5">
      <c r="C937" s="37"/>
      <c r="F937" s="37"/>
      <c r="I937" s="37"/>
      <c r="L937" s="37"/>
      <c r="O937" s="37"/>
      <c r="R937" s="37"/>
    </row>
    <row r="938" spans="3:18" ht="16.5">
      <c r="C938" s="37"/>
      <c r="F938" s="37"/>
      <c r="I938" s="37"/>
      <c r="L938" s="37"/>
      <c r="O938" s="37"/>
      <c r="R938" s="37"/>
    </row>
    <row r="939" spans="3:18" ht="16.5">
      <c r="C939" s="37"/>
      <c r="F939" s="37"/>
      <c r="I939" s="37"/>
      <c r="L939" s="37"/>
      <c r="O939" s="37"/>
      <c r="R939" s="37"/>
    </row>
    <row r="940" spans="3:18" ht="16.5">
      <c r="C940" s="37"/>
      <c r="F940" s="37"/>
      <c r="I940" s="37"/>
      <c r="L940" s="37"/>
      <c r="O940" s="37"/>
      <c r="R940" s="37"/>
    </row>
    <row r="941" spans="3:18" ht="16.5">
      <c r="C941" s="37"/>
      <c r="F941" s="37"/>
      <c r="I941" s="37"/>
      <c r="L941" s="37"/>
      <c r="O941" s="37"/>
      <c r="R941" s="37"/>
    </row>
    <row r="942" spans="3:18" ht="16.5">
      <c r="C942" s="37"/>
      <c r="F942" s="37"/>
      <c r="I942" s="37"/>
      <c r="L942" s="37"/>
      <c r="O942" s="37"/>
      <c r="R942" s="37"/>
    </row>
    <row r="943" spans="3:18" ht="16.5">
      <c r="C943" s="37"/>
      <c r="F943" s="37"/>
      <c r="I943" s="37"/>
      <c r="L943" s="37"/>
      <c r="O943" s="37"/>
      <c r="R943" s="37"/>
    </row>
    <row r="944" spans="3:18" ht="16.5">
      <c r="C944" s="37"/>
      <c r="F944" s="37"/>
      <c r="I944" s="37"/>
      <c r="L944" s="37"/>
      <c r="O944" s="37"/>
      <c r="R944" s="37"/>
    </row>
    <row r="945" spans="3:18" ht="16.5">
      <c r="C945" s="37"/>
      <c r="F945" s="37"/>
      <c r="I945" s="37"/>
      <c r="L945" s="37"/>
      <c r="O945" s="37"/>
      <c r="R945" s="37"/>
    </row>
    <row r="946" spans="3:18" ht="16.5">
      <c r="C946" s="37"/>
      <c r="F946" s="37"/>
      <c r="I946" s="37"/>
      <c r="L946" s="37"/>
      <c r="O946" s="37"/>
      <c r="R946" s="37"/>
    </row>
    <row r="947" spans="3:18" ht="16.5">
      <c r="C947" s="37"/>
      <c r="F947" s="37"/>
      <c r="I947" s="37"/>
      <c r="L947" s="37"/>
      <c r="O947" s="37"/>
      <c r="R947" s="37"/>
    </row>
    <row r="948" spans="3:18" ht="16.5">
      <c r="C948" s="37"/>
      <c r="F948" s="37"/>
      <c r="I948" s="37"/>
      <c r="L948" s="37"/>
      <c r="O948" s="37"/>
      <c r="R948" s="37"/>
    </row>
    <row r="949" spans="3:18" ht="16.5">
      <c r="C949" s="37"/>
      <c r="F949" s="37"/>
      <c r="I949" s="37"/>
      <c r="L949" s="37"/>
      <c r="O949" s="37"/>
      <c r="R949" s="37"/>
    </row>
    <row r="950" spans="3:18" ht="16.5">
      <c r="C950" s="37"/>
      <c r="F950" s="37"/>
      <c r="I950" s="37"/>
      <c r="L950" s="37"/>
      <c r="O950" s="37"/>
      <c r="R950" s="37"/>
    </row>
    <row r="951" spans="3:18" ht="16.5">
      <c r="C951" s="37"/>
      <c r="F951" s="37"/>
      <c r="I951" s="37"/>
      <c r="L951" s="37"/>
      <c r="O951" s="37"/>
      <c r="R951" s="37"/>
    </row>
    <row r="952" spans="3:18" ht="16.5">
      <c r="C952" s="37"/>
      <c r="F952" s="37"/>
      <c r="I952" s="37"/>
      <c r="L952" s="37"/>
      <c r="O952" s="37"/>
      <c r="R952" s="37"/>
    </row>
    <row r="953" spans="3:18" ht="16.5">
      <c r="C953" s="37"/>
      <c r="F953" s="37"/>
      <c r="I953" s="37"/>
      <c r="L953" s="37"/>
      <c r="O953" s="37"/>
      <c r="R953" s="37"/>
    </row>
    <row r="954" spans="3:18" ht="16.5">
      <c r="C954" s="37"/>
      <c r="F954" s="37"/>
      <c r="I954" s="37"/>
      <c r="L954" s="37"/>
      <c r="O954" s="37"/>
      <c r="R954" s="37"/>
    </row>
    <row r="955" spans="3:18" ht="16.5">
      <c r="C955" s="37"/>
      <c r="F955" s="37"/>
      <c r="I955" s="37"/>
      <c r="L955" s="37"/>
      <c r="O955" s="37"/>
      <c r="R955" s="37"/>
    </row>
    <row r="956" spans="3:18" ht="16.5">
      <c r="C956" s="37"/>
      <c r="F956" s="37"/>
      <c r="I956" s="37"/>
      <c r="L956" s="37"/>
      <c r="O956" s="37"/>
      <c r="R956" s="37"/>
    </row>
    <row r="957" spans="3:18" ht="16.5">
      <c r="C957" s="37"/>
      <c r="F957" s="37"/>
      <c r="I957" s="37"/>
      <c r="L957" s="37"/>
      <c r="O957" s="37"/>
      <c r="R957" s="37"/>
    </row>
    <row r="958" spans="3:18" ht="16.5">
      <c r="C958" s="37"/>
      <c r="F958" s="37"/>
      <c r="I958" s="37"/>
      <c r="L958" s="37"/>
      <c r="O958" s="37"/>
      <c r="R958" s="37"/>
    </row>
    <row r="959" spans="3:18" ht="16.5">
      <c r="C959" s="37"/>
      <c r="F959" s="37"/>
      <c r="I959" s="37"/>
      <c r="L959" s="37"/>
      <c r="O959" s="37"/>
      <c r="R959" s="37"/>
    </row>
    <row r="960" spans="3:18" ht="16.5">
      <c r="C960" s="37"/>
      <c r="F960" s="37"/>
      <c r="I960" s="37"/>
      <c r="L960" s="37"/>
      <c r="O960" s="37"/>
      <c r="R960" s="37"/>
    </row>
    <row r="961" spans="3:18" ht="16.5">
      <c r="C961" s="37"/>
      <c r="F961" s="37"/>
      <c r="I961" s="37"/>
      <c r="L961" s="37"/>
      <c r="O961" s="37"/>
      <c r="R961" s="37"/>
    </row>
    <row r="962" spans="3:18" ht="16.5">
      <c r="C962" s="37"/>
      <c r="F962" s="37"/>
      <c r="I962" s="37"/>
      <c r="L962" s="37"/>
      <c r="O962" s="37"/>
      <c r="R962" s="37"/>
    </row>
    <row r="963" spans="3:18" ht="16.5">
      <c r="C963" s="37"/>
      <c r="F963" s="37"/>
      <c r="I963" s="37"/>
      <c r="L963" s="37"/>
      <c r="O963" s="37"/>
      <c r="R963" s="37"/>
    </row>
    <row r="964" spans="3:18" ht="16.5">
      <c r="C964" s="37"/>
      <c r="F964" s="37"/>
      <c r="I964" s="37"/>
      <c r="L964" s="37"/>
      <c r="O964" s="37"/>
      <c r="R964" s="37"/>
    </row>
    <row r="965" spans="3:18" ht="16.5">
      <c r="C965" s="37"/>
      <c r="F965" s="37"/>
      <c r="I965" s="37"/>
      <c r="L965" s="37"/>
      <c r="O965" s="37"/>
      <c r="R965" s="37"/>
    </row>
    <row r="966" spans="3:18" ht="16.5">
      <c r="C966" s="37"/>
      <c r="F966" s="37"/>
      <c r="I966" s="37"/>
      <c r="L966" s="37"/>
      <c r="O966" s="37"/>
      <c r="R966" s="37"/>
    </row>
    <row r="967" spans="3:18" ht="16.5">
      <c r="C967" s="37"/>
      <c r="F967" s="37"/>
      <c r="I967" s="37"/>
      <c r="L967" s="37"/>
      <c r="O967" s="37"/>
      <c r="R967" s="37"/>
    </row>
    <row r="968" spans="3:18" ht="16.5">
      <c r="C968" s="37"/>
      <c r="F968" s="37"/>
      <c r="I968" s="37"/>
      <c r="L968" s="37"/>
      <c r="O968" s="37"/>
      <c r="R968" s="37"/>
    </row>
    <row r="969" spans="3:18" ht="16.5">
      <c r="C969" s="37"/>
      <c r="F969" s="37"/>
      <c r="I969" s="37"/>
      <c r="L969" s="37"/>
      <c r="O969" s="37"/>
      <c r="R969" s="37"/>
    </row>
    <row r="970" spans="3:18" ht="16.5">
      <c r="C970" s="37"/>
      <c r="F970" s="37"/>
      <c r="I970" s="37"/>
      <c r="L970" s="37"/>
      <c r="O970" s="37"/>
      <c r="R970" s="37"/>
    </row>
    <row r="971" spans="3:18" ht="16.5">
      <c r="C971" s="37"/>
      <c r="F971" s="37"/>
      <c r="I971" s="37"/>
      <c r="L971" s="37"/>
      <c r="O971" s="37"/>
      <c r="R971" s="37"/>
    </row>
    <row r="972" spans="3:18" ht="16.5">
      <c r="C972" s="37"/>
      <c r="F972" s="37"/>
      <c r="I972" s="37"/>
      <c r="L972" s="37"/>
      <c r="O972" s="37"/>
      <c r="R972" s="37"/>
    </row>
    <row r="973" spans="3:18" ht="16.5">
      <c r="C973" s="37"/>
      <c r="F973" s="37"/>
      <c r="I973" s="37"/>
      <c r="L973" s="37"/>
      <c r="O973" s="37"/>
      <c r="R973" s="37"/>
    </row>
    <row r="974" spans="3:18" ht="16.5">
      <c r="C974" s="37"/>
      <c r="F974" s="37"/>
      <c r="I974" s="37"/>
      <c r="L974" s="37"/>
      <c r="O974" s="37"/>
      <c r="R974" s="37"/>
    </row>
    <row r="975" spans="3:18" ht="16.5">
      <c r="C975" s="37"/>
      <c r="F975" s="37"/>
      <c r="I975" s="37"/>
      <c r="L975" s="37"/>
      <c r="O975" s="37"/>
      <c r="R975" s="37"/>
    </row>
    <row r="976" spans="3:18" ht="16.5">
      <c r="C976" s="37"/>
      <c r="F976" s="37"/>
      <c r="I976" s="37"/>
      <c r="L976" s="37"/>
      <c r="O976" s="37"/>
      <c r="R976" s="37"/>
    </row>
    <row r="977" spans="3:18" ht="16.5">
      <c r="C977" s="37"/>
      <c r="F977" s="37"/>
      <c r="I977" s="37"/>
      <c r="L977" s="37"/>
      <c r="O977" s="37"/>
      <c r="R977" s="37"/>
    </row>
    <row r="978" spans="3:18" ht="16.5">
      <c r="C978" s="37"/>
      <c r="F978" s="37"/>
      <c r="I978" s="37"/>
      <c r="L978" s="37"/>
      <c r="O978" s="37"/>
      <c r="R978" s="37"/>
    </row>
    <row r="979" spans="3:18" ht="16.5">
      <c r="C979" s="37"/>
      <c r="F979" s="37"/>
      <c r="I979" s="37"/>
      <c r="L979" s="37"/>
      <c r="O979" s="37"/>
      <c r="R979" s="37"/>
    </row>
    <row r="980" spans="3:18" ht="16.5">
      <c r="C980" s="37"/>
      <c r="F980" s="37"/>
      <c r="I980" s="37"/>
      <c r="L980" s="37"/>
      <c r="O980" s="37"/>
      <c r="R980" s="37"/>
    </row>
    <row r="981" spans="3:18" ht="16.5">
      <c r="C981" s="37"/>
      <c r="F981" s="37"/>
      <c r="I981" s="37"/>
      <c r="L981" s="37"/>
      <c r="O981" s="37"/>
      <c r="R981" s="37"/>
    </row>
    <row r="982" spans="3:18" ht="16.5">
      <c r="C982" s="37"/>
      <c r="F982" s="37"/>
      <c r="I982" s="37"/>
      <c r="L982" s="37"/>
      <c r="O982" s="37"/>
      <c r="R982" s="37"/>
    </row>
    <row r="983" spans="3:18" ht="16.5">
      <c r="C983" s="37"/>
      <c r="F983" s="37"/>
      <c r="I983" s="37"/>
      <c r="L983" s="37"/>
      <c r="O983" s="37"/>
      <c r="R983" s="37"/>
    </row>
    <row r="984" spans="3:18" ht="16.5">
      <c r="C984" s="37"/>
      <c r="F984" s="37"/>
      <c r="I984" s="37"/>
      <c r="L984" s="37"/>
      <c r="O984" s="37"/>
      <c r="R984" s="37"/>
    </row>
    <row r="985" spans="3:18" ht="16.5">
      <c r="C985" s="37"/>
      <c r="F985" s="37"/>
      <c r="I985" s="37"/>
      <c r="L985" s="37"/>
      <c r="O985" s="37"/>
      <c r="R985" s="37"/>
    </row>
    <row r="986" spans="3:18" ht="16.5">
      <c r="C986" s="37"/>
      <c r="F986" s="37"/>
      <c r="I986" s="37"/>
      <c r="L986" s="37"/>
      <c r="O986" s="37"/>
      <c r="R986" s="37"/>
    </row>
    <row r="987" spans="3:18" ht="16.5">
      <c r="C987" s="37"/>
      <c r="F987" s="37"/>
      <c r="I987" s="37"/>
      <c r="L987" s="37"/>
      <c r="O987" s="37"/>
      <c r="R987" s="37"/>
    </row>
    <row r="988" spans="3:18" ht="16.5">
      <c r="C988" s="37"/>
      <c r="F988" s="37"/>
      <c r="I988" s="37"/>
      <c r="L988" s="37"/>
      <c r="O988" s="37"/>
      <c r="R988" s="37"/>
    </row>
    <row r="989" spans="3:18" ht="16.5">
      <c r="C989" s="37"/>
      <c r="F989" s="37"/>
      <c r="I989" s="37"/>
      <c r="L989" s="37"/>
      <c r="O989" s="37"/>
      <c r="R989" s="37"/>
    </row>
    <row r="990" spans="3:18" ht="16.5">
      <c r="C990" s="37"/>
      <c r="F990" s="37"/>
      <c r="I990" s="37"/>
      <c r="L990" s="37"/>
      <c r="O990" s="37"/>
      <c r="R990" s="37"/>
    </row>
    <row r="991" spans="3:18" ht="16.5">
      <c r="C991" s="37"/>
      <c r="F991" s="37"/>
      <c r="I991" s="37"/>
      <c r="L991" s="37"/>
      <c r="O991" s="37"/>
      <c r="R991" s="37"/>
    </row>
    <row r="992" spans="3:18" ht="16.5">
      <c r="C992" s="37"/>
      <c r="F992" s="37"/>
      <c r="I992" s="37"/>
      <c r="L992" s="37"/>
      <c r="O992" s="37"/>
      <c r="R992" s="37"/>
    </row>
    <row r="993" spans="3:18" ht="16.5">
      <c r="C993" s="37"/>
      <c r="F993" s="37"/>
      <c r="I993" s="37"/>
      <c r="L993" s="37"/>
      <c r="O993" s="37"/>
      <c r="R993" s="37"/>
    </row>
    <row r="994" spans="3:18" ht="16.5">
      <c r="C994" s="37"/>
      <c r="F994" s="37"/>
      <c r="I994" s="37"/>
      <c r="L994" s="37"/>
      <c r="O994" s="37"/>
      <c r="R994" s="37"/>
    </row>
    <row r="995" spans="3:18" ht="16.5">
      <c r="C995" s="37"/>
      <c r="F995" s="37"/>
      <c r="I995" s="37"/>
      <c r="L995" s="37"/>
      <c r="O995" s="37"/>
      <c r="R995" s="37"/>
    </row>
    <row r="996" spans="3:18" ht="16.5">
      <c r="C996" s="37"/>
      <c r="F996" s="37"/>
      <c r="I996" s="37"/>
      <c r="L996" s="37"/>
      <c r="O996" s="37"/>
      <c r="R996" s="37"/>
    </row>
    <row r="997" spans="3:18" ht="16.5">
      <c r="C997" s="37"/>
      <c r="F997" s="37"/>
      <c r="I997" s="37"/>
      <c r="L997" s="37"/>
      <c r="O997" s="37"/>
      <c r="R997" s="37"/>
    </row>
    <row r="998" spans="3:18" ht="16.5">
      <c r="C998" s="37"/>
      <c r="F998" s="37"/>
      <c r="I998" s="37"/>
      <c r="L998" s="37"/>
      <c r="O998" s="37"/>
      <c r="R998" s="37"/>
    </row>
    <row r="999" spans="3:18" ht="16.5">
      <c r="C999" s="37"/>
      <c r="F999" s="37"/>
      <c r="I999" s="37"/>
      <c r="L999" s="37"/>
      <c r="O999" s="37"/>
      <c r="R999" s="37"/>
    </row>
    <row r="1000" spans="3:18" ht="16.5">
      <c r="C1000" s="37"/>
      <c r="F1000" s="37"/>
      <c r="I1000" s="37"/>
      <c r="L1000" s="37"/>
      <c r="O1000" s="37"/>
      <c r="R1000" s="37"/>
    </row>
    <row r="1001" spans="3:18" ht="16.5">
      <c r="C1001" s="37"/>
      <c r="F1001" s="37"/>
      <c r="I1001" s="37"/>
      <c r="L1001" s="37"/>
      <c r="O1001" s="37"/>
      <c r="R1001" s="37"/>
    </row>
    <row r="1002" spans="3:18" ht="16.5">
      <c r="C1002" s="37"/>
      <c r="F1002" s="37"/>
      <c r="I1002" s="37"/>
      <c r="L1002" s="37"/>
      <c r="O1002" s="37"/>
      <c r="R1002" s="37"/>
    </row>
    <row r="1003" spans="3:18" ht="16.5">
      <c r="C1003" s="37"/>
      <c r="F1003" s="37"/>
      <c r="I1003" s="37"/>
      <c r="L1003" s="37"/>
      <c r="O1003" s="37"/>
      <c r="R1003" s="37"/>
    </row>
    <row r="1004" spans="3:18" ht="16.5">
      <c r="C1004" s="37"/>
      <c r="F1004" s="37"/>
      <c r="I1004" s="37"/>
      <c r="L1004" s="37"/>
      <c r="O1004" s="37"/>
      <c r="R1004" s="37"/>
    </row>
    <row r="1005" spans="3:18" ht="16.5">
      <c r="C1005" s="37"/>
      <c r="F1005" s="37"/>
      <c r="I1005" s="37"/>
      <c r="L1005" s="37"/>
      <c r="O1005" s="37"/>
      <c r="R1005" s="37"/>
    </row>
    <row r="1006" spans="3:18" ht="16.5">
      <c r="C1006" s="37"/>
      <c r="F1006" s="37"/>
      <c r="I1006" s="37"/>
      <c r="L1006" s="37"/>
      <c r="O1006" s="37"/>
      <c r="R1006" s="37"/>
    </row>
    <row r="1007" spans="3:18" ht="16.5">
      <c r="C1007" s="37"/>
      <c r="F1007" s="37"/>
      <c r="I1007" s="37"/>
      <c r="L1007" s="37"/>
      <c r="O1007" s="37"/>
      <c r="R1007" s="37"/>
    </row>
    <row r="1008" spans="3:18" ht="16.5">
      <c r="C1008" s="37"/>
      <c r="F1008" s="37"/>
      <c r="I1008" s="37"/>
      <c r="L1008" s="37"/>
      <c r="O1008" s="37"/>
      <c r="R1008" s="37"/>
    </row>
    <row r="1009" spans="3:18" ht="16.5">
      <c r="C1009" s="37"/>
      <c r="F1009" s="37"/>
      <c r="I1009" s="37"/>
      <c r="L1009" s="37"/>
      <c r="O1009" s="37"/>
      <c r="R1009" s="37"/>
    </row>
    <row r="1010" spans="3:18" ht="16.5">
      <c r="C1010" s="37"/>
      <c r="F1010" s="37"/>
      <c r="I1010" s="37"/>
      <c r="L1010" s="37"/>
      <c r="O1010" s="37"/>
      <c r="R1010" s="37"/>
    </row>
    <row r="1011" spans="3:18" ht="16.5">
      <c r="C1011" s="37"/>
      <c r="F1011" s="37"/>
      <c r="I1011" s="37"/>
      <c r="L1011" s="37"/>
      <c r="O1011" s="37"/>
      <c r="R1011" s="37"/>
    </row>
    <row r="1012" spans="3:18" ht="16.5">
      <c r="C1012" s="37"/>
      <c r="F1012" s="37"/>
      <c r="I1012" s="37"/>
      <c r="L1012" s="37"/>
      <c r="O1012" s="37"/>
      <c r="R1012" s="37"/>
    </row>
    <row r="1013" spans="3:18" ht="16.5">
      <c r="C1013" s="37"/>
      <c r="F1013" s="37"/>
      <c r="I1013" s="37"/>
      <c r="L1013" s="37"/>
      <c r="O1013" s="37"/>
      <c r="R1013" s="37"/>
    </row>
    <row r="1014" spans="3:18" ht="16.5">
      <c r="C1014" s="37"/>
      <c r="F1014" s="37"/>
      <c r="I1014" s="37"/>
      <c r="L1014" s="37"/>
      <c r="O1014" s="37"/>
      <c r="R1014" s="37"/>
    </row>
    <row r="1015" spans="3:18" ht="16.5">
      <c r="C1015" s="37"/>
      <c r="F1015" s="37"/>
      <c r="I1015" s="37"/>
      <c r="L1015" s="37"/>
      <c r="O1015" s="37"/>
      <c r="R1015" s="37"/>
    </row>
    <row r="1016" spans="3:18" ht="16.5">
      <c r="C1016" s="37"/>
      <c r="F1016" s="37"/>
      <c r="I1016" s="37"/>
      <c r="L1016" s="37"/>
      <c r="O1016" s="37"/>
      <c r="R1016" s="37"/>
    </row>
    <row r="1017" spans="3:18" ht="16.5">
      <c r="C1017" s="37"/>
      <c r="F1017" s="37"/>
      <c r="I1017" s="37"/>
      <c r="L1017" s="37"/>
      <c r="O1017" s="37"/>
      <c r="R1017" s="37"/>
    </row>
    <row r="1018" spans="3:18" ht="16.5">
      <c r="C1018" s="37"/>
      <c r="F1018" s="37"/>
      <c r="I1018" s="37"/>
      <c r="L1018" s="37"/>
      <c r="O1018" s="37"/>
      <c r="R1018" s="37"/>
    </row>
    <row r="1019" spans="3:18" ht="16.5">
      <c r="C1019" s="37"/>
      <c r="F1019" s="37"/>
      <c r="I1019" s="37"/>
      <c r="L1019" s="37"/>
      <c r="O1019" s="37"/>
      <c r="R1019" s="37"/>
    </row>
    <row r="1020" spans="3:18" ht="16.5">
      <c r="C1020" s="37"/>
      <c r="F1020" s="37"/>
      <c r="I1020" s="37"/>
      <c r="L1020" s="37"/>
      <c r="O1020" s="37"/>
      <c r="R1020" s="37"/>
    </row>
    <row r="1021" spans="3:18" ht="16.5">
      <c r="C1021" s="37"/>
      <c r="F1021" s="37"/>
      <c r="I1021" s="37"/>
      <c r="L1021" s="37"/>
      <c r="O1021" s="37"/>
      <c r="R1021" s="37"/>
    </row>
    <row r="1022" spans="3:18" ht="16.5">
      <c r="C1022" s="37"/>
      <c r="F1022" s="37"/>
      <c r="I1022" s="37"/>
      <c r="L1022" s="37"/>
      <c r="O1022" s="37"/>
      <c r="R1022" s="37"/>
    </row>
    <row r="1023" spans="3:18" ht="16.5">
      <c r="C1023" s="37"/>
      <c r="F1023" s="37"/>
      <c r="I1023" s="37"/>
      <c r="L1023" s="37"/>
      <c r="O1023" s="37"/>
      <c r="R1023" s="37"/>
    </row>
    <row r="1024" spans="3:18" ht="16.5">
      <c r="C1024" s="37"/>
      <c r="F1024" s="37"/>
      <c r="I1024" s="37"/>
      <c r="L1024" s="37"/>
      <c r="O1024" s="37"/>
      <c r="R1024" s="37"/>
    </row>
    <row r="1025" spans="3:18" ht="16.5">
      <c r="C1025" s="37"/>
      <c r="F1025" s="37"/>
      <c r="I1025" s="37"/>
      <c r="L1025" s="37"/>
      <c r="O1025" s="37"/>
      <c r="R1025" s="37"/>
    </row>
    <row r="1026" spans="3:18" ht="16.5">
      <c r="C1026" s="37"/>
      <c r="F1026" s="37"/>
      <c r="I1026" s="37"/>
      <c r="L1026" s="37"/>
      <c r="O1026" s="37"/>
      <c r="R1026" s="37"/>
    </row>
    <row r="1027" spans="3:18" ht="16.5">
      <c r="C1027" s="37"/>
      <c r="F1027" s="37"/>
      <c r="I1027" s="37"/>
      <c r="L1027" s="37"/>
      <c r="O1027" s="37"/>
      <c r="R1027" s="37"/>
    </row>
    <row r="1028" spans="3:18" ht="16.5">
      <c r="C1028" s="37"/>
      <c r="F1028" s="37"/>
      <c r="I1028" s="37"/>
      <c r="L1028" s="37"/>
      <c r="O1028" s="37"/>
      <c r="R1028" s="37"/>
    </row>
    <row r="1029" spans="3:18" ht="16.5">
      <c r="C1029" s="37"/>
      <c r="F1029" s="37"/>
      <c r="I1029" s="37"/>
      <c r="L1029" s="37"/>
      <c r="O1029" s="37"/>
      <c r="R1029" s="37"/>
    </row>
    <row r="1030" spans="3:18" ht="16.5">
      <c r="C1030" s="37"/>
      <c r="F1030" s="37"/>
      <c r="I1030" s="37"/>
      <c r="L1030" s="37"/>
      <c r="O1030" s="37"/>
      <c r="R1030" s="37"/>
    </row>
    <row r="1031" spans="3:18" ht="16.5">
      <c r="C1031" s="37"/>
      <c r="F1031" s="37"/>
      <c r="I1031" s="37"/>
      <c r="L1031" s="37"/>
      <c r="O1031" s="37"/>
      <c r="R1031" s="37"/>
    </row>
    <row r="1032" spans="3:18" ht="16.5">
      <c r="C1032" s="37"/>
      <c r="F1032" s="37"/>
      <c r="I1032" s="37"/>
      <c r="L1032" s="37"/>
      <c r="O1032" s="37"/>
      <c r="R1032" s="37"/>
    </row>
    <row r="1033" spans="3:18" ht="16.5">
      <c r="C1033" s="37"/>
      <c r="F1033" s="37"/>
      <c r="I1033" s="37"/>
      <c r="L1033" s="37"/>
      <c r="O1033" s="37"/>
      <c r="R1033" s="37"/>
    </row>
    <row r="1034" spans="3:18" ht="16.5">
      <c r="C1034" s="37"/>
      <c r="F1034" s="37"/>
      <c r="I1034" s="37"/>
      <c r="L1034" s="37"/>
      <c r="O1034" s="37"/>
      <c r="R1034" s="37"/>
    </row>
    <row r="1035" spans="3:18" ht="16.5">
      <c r="C1035" s="37"/>
      <c r="F1035" s="37"/>
      <c r="I1035" s="37"/>
      <c r="L1035" s="37"/>
      <c r="O1035" s="37"/>
      <c r="R1035" s="37"/>
    </row>
    <row r="1036" spans="3:18" ht="16.5">
      <c r="C1036" s="37"/>
      <c r="F1036" s="37"/>
      <c r="I1036" s="37"/>
      <c r="L1036" s="37"/>
      <c r="O1036" s="37"/>
      <c r="R1036" s="37"/>
    </row>
    <row r="1037" spans="3:18" ht="16.5">
      <c r="C1037" s="37"/>
      <c r="F1037" s="37"/>
      <c r="I1037" s="37"/>
      <c r="L1037" s="37"/>
      <c r="O1037" s="37"/>
      <c r="R1037" s="37"/>
    </row>
    <row r="1038" spans="3:18" ht="16.5">
      <c r="C1038" s="37"/>
      <c r="F1038" s="37"/>
      <c r="I1038" s="37"/>
      <c r="L1038" s="37"/>
      <c r="O1038" s="37"/>
      <c r="R1038" s="37"/>
    </row>
    <row r="1039" spans="3:18" ht="16.5">
      <c r="C1039" s="37"/>
      <c r="F1039" s="37"/>
      <c r="I1039" s="37"/>
      <c r="L1039" s="37"/>
      <c r="O1039" s="37"/>
      <c r="R1039" s="37"/>
    </row>
    <row r="1040" spans="3:18" ht="16.5">
      <c r="C1040" s="37"/>
      <c r="F1040" s="37"/>
      <c r="I1040" s="37"/>
      <c r="L1040" s="37"/>
      <c r="O1040" s="37"/>
      <c r="R1040" s="37"/>
    </row>
    <row r="1041" spans="3:18" ht="16.5">
      <c r="C1041" s="37"/>
      <c r="F1041" s="37"/>
      <c r="I1041" s="37"/>
      <c r="L1041" s="37"/>
      <c r="O1041" s="37"/>
      <c r="R1041" s="37"/>
    </row>
    <row r="1042" spans="3:18" ht="16.5">
      <c r="C1042" s="37"/>
      <c r="F1042" s="37"/>
      <c r="I1042" s="37"/>
      <c r="L1042" s="37"/>
      <c r="O1042" s="37"/>
      <c r="R1042" s="37"/>
    </row>
    <row r="1043" spans="3:18" ht="16.5">
      <c r="C1043" s="37"/>
      <c r="F1043" s="37"/>
      <c r="I1043" s="37"/>
      <c r="L1043" s="37"/>
      <c r="O1043" s="37"/>
      <c r="R1043" s="37"/>
    </row>
    <row r="1044" spans="3:18" ht="16.5">
      <c r="C1044" s="37"/>
      <c r="F1044" s="37"/>
      <c r="I1044" s="37"/>
      <c r="L1044" s="37"/>
      <c r="O1044" s="37"/>
      <c r="R1044" s="37"/>
    </row>
    <row r="1045" spans="3:18" ht="16.5">
      <c r="C1045" s="37"/>
      <c r="F1045" s="37"/>
      <c r="I1045" s="37"/>
      <c r="L1045" s="37"/>
      <c r="O1045" s="37"/>
      <c r="R1045" s="37"/>
    </row>
    <row r="1046" spans="3:18" ht="16.5">
      <c r="C1046" s="37"/>
      <c r="F1046" s="37"/>
      <c r="I1046" s="37"/>
      <c r="L1046" s="37"/>
      <c r="O1046" s="37"/>
      <c r="R1046" s="37"/>
    </row>
    <row r="1047" spans="3:18" ht="16.5">
      <c r="C1047" s="37"/>
      <c r="F1047" s="37"/>
      <c r="I1047" s="37"/>
      <c r="L1047" s="37"/>
      <c r="O1047" s="37"/>
      <c r="R1047" s="37"/>
    </row>
    <row r="1048" spans="3:18" ht="16.5">
      <c r="C1048" s="37"/>
      <c r="F1048" s="37"/>
      <c r="I1048" s="37"/>
      <c r="L1048" s="37"/>
      <c r="O1048" s="37"/>
      <c r="R1048" s="37"/>
    </row>
    <row r="1049" spans="3:18" ht="16.5">
      <c r="C1049" s="37"/>
      <c r="F1049" s="37"/>
      <c r="I1049" s="37"/>
      <c r="L1049" s="37"/>
      <c r="O1049" s="37"/>
      <c r="R1049" s="37"/>
    </row>
    <row r="1050" spans="3:18" ht="16.5">
      <c r="C1050" s="37"/>
      <c r="F1050" s="37"/>
      <c r="I1050" s="37"/>
      <c r="L1050" s="37"/>
      <c r="O1050" s="37"/>
      <c r="R1050" s="37"/>
    </row>
    <row r="1051" spans="3:18" ht="16.5">
      <c r="C1051" s="37"/>
      <c r="F1051" s="37"/>
      <c r="I1051" s="37"/>
      <c r="L1051" s="37"/>
      <c r="O1051" s="37"/>
      <c r="R1051" s="37"/>
    </row>
    <row r="1052" spans="3:18" ht="16.5">
      <c r="C1052" s="37"/>
      <c r="F1052" s="37"/>
      <c r="I1052" s="37"/>
      <c r="L1052" s="37"/>
      <c r="O1052" s="37"/>
      <c r="R1052" s="37"/>
    </row>
    <row r="1053" spans="3:18" ht="16.5">
      <c r="C1053" s="37"/>
      <c r="F1053" s="37"/>
      <c r="I1053" s="37"/>
      <c r="L1053" s="37"/>
      <c r="O1053" s="37"/>
      <c r="R1053" s="37"/>
    </row>
    <row r="1054" spans="3:18" ht="16.5">
      <c r="C1054" s="37"/>
      <c r="F1054" s="37"/>
      <c r="I1054" s="37"/>
      <c r="L1054" s="37"/>
      <c r="O1054" s="37"/>
      <c r="R1054" s="37"/>
    </row>
    <row r="1055" spans="3:18" ht="16.5">
      <c r="C1055" s="37"/>
      <c r="F1055" s="37"/>
      <c r="I1055" s="37"/>
      <c r="L1055" s="37"/>
      <c r="O1055" s="37"/>
      <c r="R1055" s="37"/>
    </row>
    <row r="1056" spans="3:18" ht="16.5">
      <c r="C1056" s="37"/>
      <c r="F1056" s="37"/>
      <c r="I1056" s="37"/>
      <c r="L1056" s="37"/>
      <c r="O1056" s="37"/>
      <c r="R1056" s="37"/>
    </row>
    <row r="1057" spans="3:18" ht="16.5">
      <c r="C1057" s="37"/>
      <c r="F1057" s="37"/>
      <c r="I1057" s="37"/>
      <c r="L1057" s="37"/>
      <c r="O1057" s="37"/>
      <c r="R1057" s="37"/>
    </row>
    <row r="1058" spans="3:18" ht="16.5">
      <c r="C1058" s="37"/>
      <c r="F1058" s="37"/>
      <c r="I1058" s="37"/>
      <c r="L1058" s="37"/>
      <c r="O1058" s="37"/>
      <c r="R1058" s="37"/>
    </row>
    <row r="1059" spans="3:18" ht="16.5">
      <c r="C1059" s="37"/>
      <c r="F1059" s="37"/>
      <c r="I1059" s="37"/>
      <c r="L1059" s="37"/>
      <c r="O1059" s="37"/>
      <c r="R1059" s="37"/>
    </row>
    <row r="1060" spans="3:18" ht="16.5">
      <c r="C1060" s="37"/>
      <c r="F1060" s="37"/>
      <c r="I1060" s="37"/>
      <c r="L1060" s="37"/>
      <c r="O1060" s="37"/>
      <c r="R1060" s="37"/>
    </row>
    <row r="1061" spans="3:18" ht="16.5">
      <c r="C1061" s="37"/>
      <c r="F1061" s="37"/>
      <c r="I1061" s="37"/>
      <c r="L1061" s="37"/>
      <c r="O1061" s="37"/>
      <c r="R1061" s="37"/>
    </row>
    <row r="1062" spans="3:18" ht="16.5">
      <c r="C1062" s="37"/>
      <c r="F1062" s="37"/>
      <c r="I1062" s="37"/>
      <c r="L1062" s="37"/>
      <c r="O1062" s="37"/>
      <c r="R1062" s="37"/>
    </row>
    <row r="1063" spans="3:18" ht="16.5">
      <c r="C1063" s="37"/>
      <c r="F1063" s="37"/>
      <c r="I1063" s="37"/>
      <c r="L1063" s="37"/>
      <c r="O1063" s="37"/>
      <c r="R1063" s="37"/>
    </row>
    <row r="1064" spans="3:18" ht="16.5">
      <c r="C1064" s="37"/>
      <c r="F1064" s="37"/>
      <c r="I1064" s="37"/>
      <c r="L1064" s="37"/>
      <c r="O1064" s="37"/>
      <c r="R1064" s="37"/>
    </row>
    <row r="1065" spans="3:18" ht="16.5">
      <c r="C1065" s="37"/>
      <c r="F1065" s="37"/>
      <c r="I1065" s="37"/>
      <c r="L1065" s="37"/>
      <c r="O1065" s="37"/>
      <c r="R1065" s="37"/>
    </row>
    <row r="1066" spans="3:18" ht="16.5">
      <c r="C1066" s="37"/>
      <c r="F1066" s="37"/>
      <c r="I1066" s="37"/>
      <c r="L1066" s="37"/>
      <c r="O1066" s="37"/>
      <c r="R1066" s="37"/>
    </row>
    <row r="1067" spans="3:18" ht="16.5">
      <c r="C1067" s="37"/>
      <c r="F1067" s="37"/>
      <c r="I1067" s="37"/>
      <c r="L1067" s="37"/>
      <c r="O1067" s="37"/>
      <c r="R1067" s="37"/>
    </row>
    <row r="1068" spans="3:18" ht="16.5">
      <c r="C1068" s="37"/>
      <c r="F1068" s="37"/>
      <c r="I1068" s="37"/>
      <c r="L1068" s="37"/>
      <c r="O1068" s="37"/>
      <c r="R1068" s="37"/>
    </row>
    <row r="1069" spans="3:18" ht="16.5">
      <c r="C1069" s="37"/>
      <c r="F1069" s="37"/>
      <c r="I1069" s="37"/>
      <c r="L1069" s="37"/>
      <c r="O1069" s="37"/>
      <c r="R1069" s="37"/>
    </row>
    <row r="1070" spans="3:18" ht="16.5">
      <c r="C1070" s="37"/>
      <c r="F1070" s="37"/>
      <c r="I1070" s="37"/>
      <c r="L1070" s="37"/>
      <c r="O1070" s="37"/>
      <c r="R1070" s="37"/>
    </row>
    <row r="1071" spans="3:18" ht="16.5">
      <c r="C1071" s="37"/>
      <c r="F1071" s="37"/>
      <c r="I1071" s="37"/>
      <c r="L1071" s="37"/>
      <c r="O1071" s="37"/>
      <c r="R1071" s="37"/>
    </row>
    <row r="1072" spans="3:18" ht="16.5">
      <c r="C1072" s="37"/>
      <c r="F1072" s="37"/>
      <c r="I1072" s="37"/>
      <c r="L1072" s="37"/>
      <c r="O1072" s="37"/>
      <c r="R1072" s="37"/>
    </row>
    <row r="1073" spans="3:18" ht="16.5">
      <c r="C1073" s="37"/>
      <c r="F1073" s="37"/>
      <c r="I1073" s="37"/>
      <c r="L1073" s="37"/>
      <c r="O1073" s="37"/>
      <c r="R1073" s="37"/>
    </row>
    <row r="1074" spans="3:18" ht="16.5">
      <c r="C1074" s="37"/>
      <c r="F1074" s="37"/>
      <c r="I1074" s="37"/>
      <c r="L1074" s="37"/>
      <c r="O1074" s="37"/>
      <c r="R1074" s="37"/>
    </row>
    <row r="1075" spans="3:18" ht="16.5">
      <c r="C1075" s="37"/>
      <c r="F1075" s="37"/>
      <c r="I1075" s="37"/>
      <c r="L1075" s="37"/>
      <c r="O1075" s="37"/>
      <c r="R1075" s="37"/>
    </row>
    <row r="1076" spans="3:18" ht="16.5">
      <c r="C1076" s="37"/>
      <c r="F1076" s="37"/>
      <c r="I1076" s="37"/>
      <c r="L1076" s="37"/>
      <c r="O1076" s="37"/>
      <c r="R1076" s="37"/>
    </row>
    <row r="1077" spans="3:18" ht="16.5">
      <c r="C1077" s="37"/>
      <c r="F1077" s="37"/>
      <c r="I1077" s="37"/>
      <c r="L1077" s="37"/>
      <c r="O1077" s="37"/>
      <c r="R1077" s="37"/>
    </row>
    <row r="1078" spans="3:18" ht="16.5">
      <c r="C1078" s="37"/>
      <c r="F1078" s="37"/>
      <c r="I1078" s="37"/>
      <c r="L1078" s="37"/>
      <c r="O1078" s="37"/>
      <c r="R1078" s="37"/>
    </row>
    <row r="1079" spans="3:18" ht="16.5">
      <c r="C1079" s="37"/>
      <c r="F1079" s="37"/>
      <c r="I1079" s="37"/>
      <c r="L1079" s="37"/>
      <c r="O1079" s="37"/>
      <c r="R1079" s="37"/>
    </row>
    <row r="1080" spans="3:18" ht="16.5">
      <c r="C1080" s="37"/>
      <c r="F1080" s="37"/>
      <c r="I1080" s="37"/>
      <c r="L1080" s="37"/>
      <c r="O1080" s="37"/>
      <c r="R1080" s="37"/>
    </row>
    <row r="1081" spans="3:18" ht="16.5">
      <c r="C1081" s="37"/>
      <c r="F1081" s="37"/>
      <c r="I1081" s="37"/>
      <c r="L1081" s="37"/>
      <c r="O1081" s="37"/>
      <c r="R1081" s="37"/>
    </row>
    <row r="1082" spans="3:18" ht="16.5">
      <c r="C1082" s="37"/>
      <c r="F1082" s="37"/>
      <c r="I1082" s="37"/>
      <c r="L1082" s="37"/>
      <c r="O1082" s="37"/>
      <c r="R1082" s="37"/>
    </row>
    <row r="1083" spans="3:18" ht="16.5">
      <c r="C1083" s="37"/>
      <c r="F1083" s="37"/>
      <c r="I1083" s="37"/>
      <c r="L1083" s="37"/>
      <c r="O1083" s="37"/>
      <c r="R1083" s="37"/>
    </row>
    <row r="1084" spans="3:18" ht="16.5">
      <c r="C1084" s="37"/>
      <c r="F1084" s="37"/>
      <c r="I1084" s="37"/>
      <c r="L1084" s="37"/>
      <c r="O1084" s="37"/>
      <c r="R1084" s="37"/>
    </row>
    <row r="1085" spans="3:18" ht="16.5">
      <c r="C1085" s="37"/>
      <c r="F1085" s="37"/>
      <c r="I1085" s="37"/>
      <c r="L1085" s="37"/>
      <c r="O1085" s="37"/>
      <c r="R1085" s="37"/>
    </row>
    <row r="1086" spans="3:18" ht="16.5">
      <c r="C1086" s="37"/>
      <c r="F1086" s="37"/>
      <c r="I1086" s="37"/>
      <c r="L1086" s="37"/>
      <c r="O1086" s="37"/>
      <c r="R1086" s="37"/>
    </row>
    <row r="1087" spans="3:18" ht="16.5">
      <c r="C1087" s="37"/>
      <c r="F1087" s="37"/>
      <c r="I1087" s="37"/>
      <c r="L1087" s="37"/>
      <c r="O1087" s="37"/>
      <c r="R1087" s="37"/>
    </row>
    <row r="1088" spans="3:18" ht="16.5">
      <c r="C1088" s="37"/>
      <c r="F1088" s="37"/>
      <c r="I1088" s="37"/>
      <c r="L1088" s="37"/>
      <c r="O1088" s="37"/>
      <c r="R1088" s="37"/>
    </row>
    <row r="1089" spans="3:18" ht="16.5">
      <c r="C1089" s="37"/>
      <c r="F1089" s="37"/>
      <c r="I1089" s="37"/>
      <c r="L1089" s="37"/>
      <c r="O1089" s="37"/>
      <c r="R1089" s="37"/>
    </row>
    <row r="1090" spans="3:18" ht="16.5">
      <c r="C1090" s="37"/>
      <c r="F1090" s="37"/>
      <c r="I1090" s="37"/>
      <c r="L1090" s="37"/>
      <c r="O1090" s="37"/>
      <c r="R1090" s="37"/>
    </row>
    <row r="1091" spans="3:18" ht="16.5">
      <c r="C1091" s="37"/>
      <c r="F1091" s="37"/>
      <c r="I1091" s="37"/>
      <c r="L1091" s="37"/>
      <c r="O1091" s="37"/>
      <c r="R1091" s="37"/>
    </row>
    <row r="1092" spans="3:18" ht="16.5">
      <c r="C1092" s="37"/>
      <c r="F1092" s="37"/>
      <c r="I1092" s="37"/>
      <c r="L1092" s="37"/>
      <c r="O1092" s="37"/>
      <c r="R1092" s="37"/>
    </row>
    <row r="1093" spans="3:18" ht="16.5">
      <c r="C1093" s="37"/>
      <c r="F1093" s="37"/>
      <c r="I1093" s="37"/>
      <c r="L1093" s="37"/>
      <c r="O1093" s="37"/>
      <c r="R1093" s="37"/>
    </row>
    <row r="1094" spans="3:18" ht="16.5">
      <c r="C1094" s="37"/>
      <c r="F1094" s="37"/>
      <c r="I1094" s="37"/>
      <c r="L1094" s="37"/>
      <c r="O1094" s="37"/>
      <c r="R1094" s="37"/>
    </row>
    <row r="1095" spans="3:18" ht="16.5">
      <c r="C1095" s="37"/>
      <c r="F1095" s="37"/>
      <c r="I1095" s="37"/>
      <c r="L1095" s="37"/>
      <c r="O1095" s="37"/>
      <c r="R1095" s="37"/>
    </row>
    <row r="1096" spans="3:18" ht="16.5">
      <c r="C1096" s="37"/>
      <c r="F1096" s="37"/>
      <c r="I1096" s="37"/>
      <c r="L1096" s="37"/>
      <c r="O1096" s="37"/>
      <c r="R1096" s="37"/>
    </row>
    <row r="1097" spans="3:18" ht="16.5">
      <c r="C1097" s="37"/>
      <c r="F1097" s="37"/>
      <c r="I1097" s="37"/>
      <c r="L1097" s="37"/>
      <c r="O1097" s="37"/>
      <c r="R1097" s="37"/>
    </row>
    <row r="1098" spans="3:18" ht="16.5">
      <c r="C1098" s="37"/>
      <c r="F1098" s="37"/>
      <c r="I1098" s="37"/>
      <c r="L1098" s="37"/>
      <c r="O1098" s="37"/>
      <c r="R1098" s="37"/>
    </row>
    <row r="1099" spans="3:18" ht="16.5">
      <c r="C1099" s="37"/>
      <c r="F1099" s="37"/>
      <c r="I1099" s="37"/>
      <c r="L1099" s="37"/>
      <c r="O1099" s="37"/>
      <c r="R1099" s="37"/>
    </row>
    <row r="1100" spans="3:18" ht="16.5">
      <c r="C1100" s="37"/>
      <c r="F1100" s="37"/>
      <c r="I1100" s="37"/>
      <c r="L1100" s="37"/>
      <c r="O1100" s="37"/>
      <c r="R1100" s="37"/>
    </row>
    <row r="1101" spans="3:18" ht="16.5">
      <c r="C1101" s="37"/>
      <c r="F1101" s="37"/>
      <c r="I1101" s="37"/>
      <c r="L1101" s="37"/>
      <c r="O1101" s="37"/>
      <c r="R1101" s="37"/>
    </row>
    <row r="1102" spans="3:18" ht="16.5">
      <c r="C1102" s="37"/>
      <c r="F1102" s="37"/>
      <c r="I1102" s="37"/>
      <c r="L1102" s="37"/>
      <c r="O1102" s="37"/>
      <c r="R1102" s="37"/>
    </row>
    <row r="1103" spans="3:18" ht="16.5">
      <c r="C1103" s="37"/>
      <c r="F1103" s="37"/>
      <c r="I1103" s="37"/>
      <c r="L1103" s="37"/>
      <c r="O1103" s="37"/>
      <c r="R1103" s="37"/>
    </row>
    <row r="1104" spans="3:18" ht="16.5">
      <c r="C1104" s="37"/>
      <c r="F1104" s="37"/>
      <c r="I1104" s="37"/>
      <c r="L1104" s="37"/>
      <c r="O1104" s="37"/>
      <c r="R1104" s="37"/>
    </row>
    <row r="1105" spans="3:18" ht="16.5">
      <c r="C1105" s="37"/>
      <c r="F1105" s="37"/>
      <c r="I1105" s="37"/>
      <c r="L1105" s="37"/>
      <c r="O1105" s="37"/>
      <c r="R1105" s="37"/>
    </row>
    <row r="1106" spans="3:18" ht="16.5">
      <c r="C1106" s="37"/>
      <c r="F1106" s="37"/>
      <c r="I1106" s="37"/>
      <c r="L1106" s="37"/>
      <c r="O1106" s="37"/>
      <c r="R1106" s="37"/>
    </row>
    <row r="1107" spans="3:18" ht="16.5">
      <c r="C1107" s="37"/>
      <c r="F1107" s="37"/>
      <c r="I1107" s="37"/>
      <c r="L1107" s="37"/>
      <c r="O1107" s="37"/>
      <c r="R1107" s="37"/>
    </row>
    <row r="1108" spans="3:18" ht="16.5">
      <c r="C1108" s="37"/>
      <c r="F1108" s="37"/>
      <c r="I1108" s="37"/>
      <c r="L1108" s="37"/>
      <c r="O1108" s="37"/>
      <c r="R1108" s="37"/>
    </row>
    <row r="1109" spans="3:18" ht="16.5">
      <c r="C1109" s="37"/>
      <c r="F1109" s="37"/>
      <c r="I1109" s="37"/>
      <c r="L1109" s="37"/>
      <c r="O1109" s="37"/>
      <c r="R1109" s="37"/>
    </row>
    <row r="1110" spans="3:18" ht="16.5">
      <c r="C1110" s="37"/>
      <c r="F1110" s="37"/>
      <c r="I1110" s="37"/>
      <c r="L1110" s="37"/>
      <c r="O1110" s="37"/>
      <c r="R1110" s="37"/>
    </row>
    <row r="1111" spans="3:18" ht="16.5">
      <c r="C1111" s="37"/>
      <c r="F1111" s="37"/>
      <c r="I1111" s="37"/>
      <c r="L1111" s="37"/>
      <c r="O1111" s="37"/>
      <c r="R1111" s="37"/>
    </row>
    <row r="1112" spans="3:18" ht="16.5">
      <c r="C1112" s="37"/>
      <c r="F1112" s="37"/>
      <c r="I1112" s="37"/>
      <c r="L1112" s="37"/>
      <c r="O1112" s="37"/>
      <c r="R1112" s="37"/>
    </row>
    <row r="1113" spans="3:18" ht="16.5">
      <c r="C1113" s="37"/>
      <c r="F1113" s="37"/>
      <c r="I1113" s="37"/>
      <c r="L1113" s="37"/>
      <c r="O1113" s="37"/>
      <c r="R1113" s="37"/>
    </row>
    <row r="1114" spans="3:18" ht="16.5">
      <c r="C1114" s="37"/>
      <c r="F1114" s="37"/>
      <c r="I1114" s="37"/>
      <c r="L1114" s="37"/>
      <c r="O1114" s="37"/>
      <c r="R1114" s="37"/>
    </row>
    <row r="1115" spans="3:18" ht="16.5">
      <c r="C1115" s="37"/>
      <c r="F1115" s="37"/>
      <c r="I1115" s="37"/>
      <c r="L1115" s="37"/>
      <c r="O1115" s="37"/>
      <c r="R1115" s="37"/>
    </row>
    <row r="1116" spans="3:18" ht="16.5">
      <c r="C1116" s="37"/>
      <c r="F1116" s="37"/>
      <c r="I1116" s="37"/>
      <c r="L1116" s="37"/>
      <c r="O1116" s="37"/>
      <c r="R1116" s="37"/>
    </row>
    <row r="1117" spans="3:18" ht="16.5">
      <c r="C1117" s="37"/>
      <c r="F1117" s="37"/>
      <c r="I1117" s="37"/>
      <c r="L1117" s="37"/>
      <c r="O1117" s="37"/>
      <c r="R1117" s="37"/>
    </row>
    <row r="1118" spans="3:18" ht="16.5">
      <c r="C1118" s="37"/>
      <c r="F1118" s="37"/>
      <c r="I1118" s="37"/>
      <c r="L1118" s="37"/>
      <c r="O1118" s="37"/>
      <c r="R1118" s="37"/>
    </row>
    <row r="1119" spans="3:18" ht="16.5">
      <c r="C1119" s="37"/>
      <c r="F1119" s="37"/>
      <c r="I1119" s="37"/>
      <c r="L1119" s="37"/>
      <c r="O1119" s="37"/>
      <c r="R1119" s="37"/>
    </row>
    <row r="1120" spans="3:18" ht="16.5">
      <c r="C1120" s="37"/>
      <c r="F1120" s="37"/>
      <c r="I1120" s="37"/>
      <c r="L1120" s="37"/>
      <c r="O1120" s="37"/>
      <c r="R1120" s="37"/>
    </row>
    <row r="1121" spans="3:18" ht="16.5">
      <c r="C1121" s="37"/>
      <c r="F1121" s="37"/>
      <c r="I1121" s="37"/>
      <c r="L1121" s="37"/>
      <c r="O1121" s="37"/>
      <c r="R1121" s="37"/>
    </row>
    <row r="1122" spans="3:18" ht="16.5">
      <c r="C1122" s="37"/>
      <c r="F1122" s="37"/>
      <c r="I1122" s="37"/>
      <c r="L1122" s="37"/>
      <c r="O1122" s="37"/>
      <c r="R1122" s="37"/>
    </row>
    <row r="1123" spans="3:18" ht="16.5">
      <c r="C1123" s="37"/>
      <c r="F1123" s="37"/>
      <c r="I1123" s="37"/>
      <c r="L1123" s="37"/>
      <c r="O1123" s="37"/>
      <c r="R1123" s="37"/>
    </row>
    <row r="1124" spans="3:18" ht="16.5">
      <c r="C1124" s="37"/>
      <c r="F1124" s="37"/>
      <c r="I1124" s="37"/>
      <c r="L1124" s="37"/>
      <c r="O1124" s="37"/>
      <c r="R1124" s="37"/>
    </row>
    <row r="1125" spans="3:18" ht="16.5">
      <c r="C1125" s="37"/>
      <c r="F1125" s="37"/>
      <c r="I1125" s="37"/>
      <c r="L1125" s="37"/>
      <c r="O1125" s="37"/>
      <c r="R1125" s="37"/>
    </row>
    <row r="1126" spans="3:18" ht="16.5">
      <c r="C1126" s="37"/>
      <c r="F1126" s="37"/>
      <c r="I1126" s="37"/>
      <c r="L1126" s="37"/>
      <c r="O1126" s="37"/>
      <c r="R1126" s="37"/>
    </row>
    <row r="1127" spans="3:18" ht="16.5">
      <c r="C1127" s="37"/>
      <c r="F1127" s="37"/>
      <c r="I1127" s="37"/>
      <c r="L1127" s="37"/>
      <c r="O1127" s="37"/>
      <c r="R1127" s="37"/>
    </row>
    <row r="1128" spans="3:18" ht="16.5">
      <c r="C1128" s="37"/>
      <c r="F1128" s="37"/>
      <c r="I1128" s="37"/>
      <c r="L1128" s="37"/>
      <c r="O1128" s="37"/>
      <c r="R1128" s="37"/>
    </row>
    <row r="1129" spans="3:18" ht="16.5">
      <c r="C1129" s="37"/>
      <c r="F1129" s="37"/>
      <c r="I1129" s="37"/>
      <c r="L1129" s="37"/>
      <c r="O1129" s="37"/>
      <c r="R1129" s="37"/>
    </row>
    <row r="1130" spans="3:18" ht="16.5">
      <c r="C1130" s="37"/>
      <c r="F1130" s="37"/>
      <c r="I1130" s="37"/>
      <c r="L1130" s="37"/>
      <c r="O1130" s="37"/>
      <c r="R1130" s="37"/>
    </row>
    <row r="1131" spans="3:18" ht="16.5">
      <c r="C1131" s="37"/>
      <c r="F1131" s="37"/>
      <c r="I1131" s="37"/>
      <c r="L1131" s="37"/>
      <c r="O1131" s="37"/>
      <c r="R1131" s="37"/>
    </row>
    <row r="1132" spans="3:18" ht="16.5">
      <c r="C1132" s="37"/>
      <c r="F1132" s="37"/>
      <c r="I1132" s="37"/>
      <c r="L1132" s="37"/>
      <c r="O1132" s="37"/>
      <c r="R1132" s="37"/>
    </row>
    <row r="1133" spans="3:18" ht="16.5">
      <c r="C1133" s="37"/>
      <c r="F1133" s="37"/>
      <c r="I1133" s="37"/>
      <c r="L1133" s="37"/>
      <c r="O1133" s="37"/>
      <c r="R1133" s="37"/>
    </row>
    <row r="1134" spans="3:18" ht="16.5">
      <c r="C1134" s="37"/>
      <c r="F1134" s="37"/>
      <c r="I1134" s="37"/>
      <c r="L1134" s="37"/>
      <c r="O1134" s="37"/>
      <c r="R1134" s="37"/>
    </row>
    <row r="1135" spans="3:18" ht="16.5">
      <c r="C1135" s="37"/>
      <c r="F1135" s="37"/>
      <c r="I1135" s="37"/>
      <c r="L1135" s="37"/>
      <c r="O1135" s="37"/>
      <c r="R1135" s="37"/>
    </row>
    <row r="1136" spans="3:18" ht="16.5">
      <c r="C1136" s="37"/>
      <c r="F1136" s="37"/>
      <c r="I1136" s="37"/>
      <c r="L1136" s="37"/>
      <c r="O1136" s="37"/>
      <c r="R1136" s="37"/>
    </row>
    <row r="1137" spans="3:18" ht="16.5">
      <c r="C1137" s="37"/>
      <c r="F1137" s="37"/>
      <c r="I1137" s="37"/>
      <c r="L1137" s="37"/>
      <c r="O1137" s="37"/>
      <c r="R1137" s="37"/>
    </row>
    <row r="1138" spans="3:18" ht="16.5">
      <c r="C1138" s="37"/>
      <c r="F1138" s="37"/>
      <c r="I1138" s="37"/>
      <c r="L1138" s="37"/>
      <c r="O1138" s="37"/>
      <c r="R1138" s="37"/>
    </row>
    <row r="1139" spans="3:18" ht="16.5">
      <c r="C1139" s="37"/>
      <c r="F1139" s="37"/>
      <c r="I1139" s="37"/>
      <c r="L1139" s="37"/>
      <c r="O1139" s="37"/>
      <c r="R1139" s="37"/>
    </row>
    <row r="1140" spans="3:18" ht="16.5">
      <c r="C1140" s="37"/>
      <c r="F1140" s="37"/>
      <c r="I1140" s="37"/>
      <c r="L1140" s="37"/>
      <c r="O1140" s="37"/>
      <c r="R1140" s="37"/>
    </row>
    <row r="1141" spans="3:18" ht="16.5">
      <c r="C1141" s="37"/>
      <c r="F1141" s="37"/>
      <c r="I1141" s="37"/>
      <c r="L1141" s="37"/>
      <c r="O1141" s="37"/>
      <c r="R1141" s="37"/>
    </row>
    <row r="1142" spans="3:18" ht="16.5">
      <c r="C1142" s="37"/>
      <c r="F1142" s="37"/>
      <c r="I1142" s="37"/>
      <c r="L1142" s="37"/>
      <c r="O1142" s="37"/>
      <c r="R1142" s="37"/>
    </row>
    <row r="1143" spans="3:18" ht="16.5">
      <c r="C1143" s="37"/>
      <c r="F1143" s="37"/>
      <c r="I1143" s="37"/>
      <c r="L1143" s="37"/>
      <c r="O1143" s="37"/>
      <c r="R1143" s="37"/>
    </row>
    <row r="1144" spans="3:18" ht="16.5">
      <c r="C1144" s="37"/>
      <c r="F1144" s="37"/>
      <c r="I1144" s="37"/>
      <c r="L1144" s="37"/>
      <c r="O1144" s="37"/>
      <c r="R1144" s="37"/>
    </row>
    <row r="1145" spans="3:18" ht="16.5">
      <c r="C1145" s="37"/>
      <c r="F1145" s="37"/>
      <c r="I1145" s="37"/>
      <c r="L1145" s="37"/>
      <c r="O1145" s="37"/>
      <c r="R1145" s="37"/>
    </row>
    <row r="1146" spans="3:18" ht="16.5">
      <c r="C1146" s="37"/>
      <c r="F1146" s="37"/>
      <c r="I1146" s="37"/>
      <c r="L1146" s="37"/>
      <c r="O1146" s="37"/>
      <c r="R1146" s="37"/>
    </row>
    <row r="1147" spans="3:18" ht="16.5">
      <c r="C1147" s="37"/>
      <c r="F1147" s="37"/>
      <c r="I1147" s="37"/>
      <c r="L1147" s="37"/>
      <c r="O1147" s="37"/>
      <c r="R1147" s="37"/>
    </row>
    <row r="1148" spans="3:18" ht="16.5">
      <c r="C1148" s="37"/>
      <c r="F1148" s="37"/>
      <c r="I1148" s="37"/>
      <c r="L1148" s="37"/>
      <c r="O1148" s="37"/>
      <c r="R1148" s="37"/>
    </row>
    <row r="1149" spans="3:18" ht="16.5">
      <c r="C1149" s="37"/>
      <c r="F1149" s="37"/>
      <c r="I1149" s="37"/>
      <c r="L1149" s="37"/>
      <c r="O1149" s="37"/>
      <c r="R1149" s="37"/>
    </row>
    <row r="1150" spans="3:18" ht="16.5">
      <c r="C1150" s="37"/>
      <c r="F1150" s="37"/>
      <c r="I1150" s="37"/>
      <c r="L1150" s="37"/>
      <c r="O1150" s="37"/>
      <c r="R1150" s="37"/>
    </row>
    <row r="1151" spans="3:18" ht="16.5">
      <c r="C1151" s="37"/>
      <c r="F1151" s="37"/>
      <c r="I1151" s="37"/>
      <c r="L1151" s="37"/>
      <c r="O1151" s="37"/>
      <c r="R1151" s="37"/>
    </row>
    <row r="1152" spans="3:18" ht="16.5">
      <c r="C1152" s="37"/>
      <c r="F1152" s="37"/>
      <c r="I1152" s="37"/>
      <c r="L1152" s="37"/>
      <c r="O1152" s="37"/>
      <c r="R1152" s="37"/>
    </row>
    <row r="1153" spans="3:18" ht="16.5">
      <c r="C1153" s="37"/>
      <c r="F1153" s="37"/>
      <c r="I1153" s="37"/>
      <c r="L1153" s="37"/>
      <c r="O1153" s="37"/>
      <c r="R1153" s="37"/>
    </row>
    <row r="1154" spans="3:18" ht="16.5">
      <c r="C1154" s="37"/>
      <c r="F1154" s="37"/>
      <c r="I1154" s="37"/>
      <c r="L1154" s="37"/>
      <c r="O1154" s="37"/>
      <c r="R1154" s="37"/>
    </row>
    <row r="1155" spans="3:18" ht="16.5">
      <c r="C1155" s="37"/>
      <c r="F1155" s="37"/>
      <c r="I1155" s="37"/>
      <c r="L1155" s="37"/>
      <c r="O1155" s="37"/>
      <c r="R1155" s="37"/>
    </row>
    <row r="1156" spans="3:18" ht="16.5">
      <c r="C1156" s="37"/>
      <c r="F1156" s="37"/>
      <c r="I1156" s="37"/>
      <c r="L1156" s="37"/>
      <c r="O1156" s="37"/>
      <c r="R1156" s="37"/>
    </row>
    <row r="1157" spans="3:18" ht="16.5">
      <c r="C1157" s="37"/>
      <c r="F1157" s="37"/>
      <c r="I1157" s="37"/>
      <c r="L1157" s="37"/>
      <c r="O1157" s="37"/>
      <c r="R1157" s="37"/>
    </row>
    <row r="1158" spans="3:18" ht="16.5">
      <c r="C1158" s="37"/>
      <c r="F1158" s="37"/>
      <c r="I1158" s="37"/>
      <c r="L1158" s="37"/>
      <c r="O1158" s="37"/>
      <c r="R1158" s="37"/>
    </row>
    <row r="1159" spans="3:18" ht="16.5">
      <c r="C1159" s="37"/>
      <c r="F1159" s="37"/>
      <c r="I1159" s="37"/>
      <c r="L1159" s="37"/>
      <c r="O1159" s="37"/>
      <c r="R1159" s="37"/>
    </row>
    <row r="1160" spans="3:18" ht="16.5">
      <c r="C1160" s="37"/>
      <c r="F1160" s="37"/>
      <c r="I1160" s="37"/>
      <c r="L1160" s="37"/>
      <c r="O1160" s="37"/>
      <c r="R1160" s="37"/>
    </row>
    <row r="1161" spans="3:18" ht="16.5">
      <c r="C1161" s="37"/>
      <c r="F1161" s="37"/>
      <c r="I1161" s="37"/>
      <c r="L1161" s="37"/>
      <c r="O1161" s="37"/>
      <c r="R1161" s="37"/>
    </row>
    <row r="1162" spans="3:18" ht="16.5">
      <c r="C1162" s="37"/>
      <c r="F1162" s="37"/>
      <c r="I1162" s="37"/>
      <c r="L1162" s="37"/>
      <c r="O1162" s="37"/>
      <c r="R1162" s="37"/>
    </row>
    <row r="1163" spans="3:18" ht="16.5">
      <c r="C1163" s="37"/>
      <c r="F1163" s="37"/>
      <c r="I1163" s="37"/>
      <c r="L1163" s="37"/>
      <c r="O1163" s="37"/>
      <c r="R1163" s="37"/>
    </row>
    <row r="1164" spans="3:18" ht="16.5">
      <c r="C1164" s="37"/>
      <c r="F1164" s="37"/>
      <c r="I1164" s="37"/>
      <c r="L1164" s="37"/>
      <c r="O1164" s="37"/>
      <c r="R1164" s="37"/>
    </row>
    <row r="1165" spans="3:18" ht="16.5">
      <c r="C1165" s="37"/>
      <c r="F1165" s="37"/>
      <c r="I1165" s="37"/>
      <c r="L1165" s="37"/>
      <c r="O1165" s="37"/>
      <c r="R1165" s="37"/>
    </row>
    <row r="1166" spans="3:18" ht="16.5">
      <c r="C1166" s="37"/>
      <c r="F1166" s="37"/>
      <c r="I1166" s="37"/>
      <c r="L1166" s="37"/>
      <c r="O1166" s="37"/>
      <c r="R1166" s="37"/>
    </row>
    <row r="1167" spans="3:18" ht="16.5">
      <c r="C1167" s="37"/>
      <c r="F1167" s="37"/>
      <c r="I1167" s="37"/>
      <c r="L1167" s="37"/>
      <c r="O1167" s="37"/>
      <c r="R1167" s="37"/>
    </row>
    <row r="1168" spans="3:18" ht="16.5">
      <c r="C1168" s="37"/>
      <c r="F1168" s="37"/>
      <c r="I1168" s="37"/>
      <c r="L1168" s="37"/>
      <c r="O1168" s="37"/>
      <c r="R1168" s="37"/>
    </row>
    <row r="1169" spans="3:18" ht="16.5">
      <c r="C1169" s="37"/>
      <c r="F1169" s="37"/>
      <c r="I1169" s="37"/>
      <c r="L1169" s="37"/>
      <c r="O1169" s="37"/>
      <c r="R1169" s="37"/>
    </row>
    <row r="1170" spans="3:18" ht="16.5">
      <c r="C1170" s="37"/>
      <c r="F1170" s="37"/>
      <c r="I1170" s="37"/>
      <c r="L1170" s="37"/>
      <c r="O1170" s="37"/>
      <c r="R1170" s="37"/>
    </row>
    <row r="1171" spans="3:18" ht="16.5">
      <c r="C1171" s="37"/>
      <c r="F1171" s="37"/>
      <c r="I1171" s="37"/>
      <c r="L1171" s="37"/>
      <c r="O1171" s="37"/>
      <c r="R1171" s="37"/>
    </row>
    <row r="1172" spans="3:18" ht="16.5">
      <c r="C1172" s="37"/>
      <c r="F1172" s="37"/>
      <c r="I1172" s="37"/>
      <c r="L1172" s="37"/>
      <c r="O1172" s="37"/>
      <c r="R1172" s="37"/>
    </row>
    <row r="1173" spans="3:18" ht="16.5">
      <c r="C1173" s="37"/>
      <c r="F1173" s="37"/>
      <c r="I1173" s="37"/>
      <c r="L1173" s="37"/>
      <c r="O1173" s="37"/>
      <c r="R1173" s="37"/>
    </row>
    <row r="1174" spans="3:18" ht="16.5">
      <c r="C1174" s="37"/>
      <c r="F1174" s="37"/>
      <c r="I1174" s="37"/>
      <c r="L1174" s="37"/>
      <c r="O1174" s="37"/>
      <c r="R1174" s="37"/>
    </row>
    <row r="1175" spans="3:18" ht="16.5">
      <c r="C1175" s="37"/>
      <c r="F1175" s="37"/>
      <c r="I1175" s="37"/>
      <c r="L1175" s="37"/>
      <c r="O1175" s="37"/>
      <c r="R1175" s="37"/>
    </row>
    <row r="1176" spans="3:18" ht="16.5">
      <c r="C1176" s="37"/>
      <c r="F1176" s="37"/>
      <c r="I1176" s="37"/>
      <c r="L1176" s="37"/>
      <c r="O1176" s="37"/>
      <c r="R1176" s="37"/>
    </row>
    <row r="1177" spans="3:18" ht="16.5">
      <c r="C1177" s="37"/>
      <c r="F1177" s="37"/>
      <c r="I1177" s="37"/>
      <c r="L1177" s="37"/>
      <c r="O1177" s="37"/>
      <c r="R1177" s="37"/>
    </row>
    <row r="1178" spans="3:18" ht="16.5">
      <c r="C1178" s="37"/>
      <c r="F1178" s="37"/>
      <c r="I1178" s="37"/>
      <c r="L1178" s="37"/>
      <c r="O1178" s="37"/>
      <c r="R1178" s="37"/>
    </row>
    <row r="1179" spans="3:18" ht="16.5">
      <c r="C1179" s="37"/>
      <c r="F1179" s="37"/>
      <c r="I1179" s="37"/>
      <c r="L1179" s="37"/>
      <c r="O1179" s="37"/>
      <c r="R1179" s="37"/>
    </row>
    <row r="1180" spans="3:18" ht="16.5">
      <c r="C1180" s="37"/>
      <c r="F1180" s="37"/>
      <c r="I1180" s="37"/>
      <c r="L1180" s="37"/>
      <c r="O1180" s="37"/>
      <c r="R1180" s="37"/>
    </row>
    <row r="1181" spans="3:18" ht="16.5">
      <c r="C1181" s="37"/>
      <c r="F1181" s="37"/>
      <c r="I1181" s="37"/>
      <c r="L1181" s="37"/>
      <c r="O1181" s="37"/>
      <c r="R1181" s="37"/>
    </row>
    <row r="1182" spans="3:18" ht="16.5">
      <c r="C1182" s="37"/>
      <c r="F1182" s="37"/>
      <c r="I1182" s="37"/>
      <c r="L1182" s="37"/>
      <c r="O1182" s="37"/>
      <c r="R1182" s="37"/>
    </row>
    <row r="1183" spans="3:18" ht="16.5">
      <c r="C1183" s="37"/>
      <c r="F1183" s="37"/>
      <c r="I1183" s="37"/>
      <c r="L1183" s="37"/>
      <c r="O1183" s="37"/>
      <c r="R1183" s="37"/>
    </row>
    <row r="1184" spans="3:18" ht="16.5">
      <c r="C1184" s="37"/>
      <c r="F1184" s="37"/>
      <c r="I1184" s="37"/>
      <c r="L1184" s="37"/>
      <c r="O1184" s="37"/>
      <c r="R1184" s="37"/>
    </row>
    <row r="1185" spans="3:18" ht="16.5">
      <c r="C1185" s="37"/>
      <c r="F1185" s="37"/>
      <c r="I1185" s="37"/>
      <c r="L1185" s="37"/>
      <c r="O1185" s="37"/>
      <c r="R1185" s="37"/>
    </row>
    <row r="1186" spans="3:18" ht="16.5">
      <c r="C1186" s="37"/>
      <c r="F1186" s="37"/>
      <c r="I1186" s="37"/>
      <c r="L1186" s="37"/>
      <c r="O1186" s="37"/>
      <c r="R1186" s="37"/>
    </row>
    <row r="1187" spans="3:18" ht="16.5">
      <c r="C1187" s="37"/>
      <c r="F1187" s="37"/>
      <c r="I1187" s="37"/>
      <c r="L1187" s="37"/>
      <c r="O1187" s="37"/>
      <c r="R1187" s="37"/>
    </row>
    <row r="1188" spans="3:18" ht="16.5">
      <c r="C1188" s="37"/>
      <c r="F1188" s="37"/>
      <c r="I1188" s="37"/>
      <c r="L1188" s="37"/>
      <c r="O1188" s="37"/>
      <c r="R1188" s="37"/>
    </row>
    <row r="1189" spans="3:18" ht="16.5">
      <c r="C1189" s="37"/>
      <c r="F1189" s="37"/>
      <c r="I1189" s="37"/>
      <c r="L1189" s="37"/>
      <c r="O1189" s="37"/>
      <c r="R1189" s="37"/>
    </row>
    <row r="1190" spans="3:18" ht="16.5">
      <c r="C1190" s="37"/>
      <c r="F1190" s="37"/>
      <c r="I1190" s="37"/>
      <c r="L1190" s="37"/>
      <c r="O1190" s="37"/>
      <c r="R1190" s="37"/>
    </row>
    <row r="1191" spans="3:18" ht="16.5">
      <c r="C1191" s="37"/>
      <c r="F1191" s="37"/>
      <c r="I1191" s="37"/>
      <c r="L1191" s="37"/>
      <c r="O1191" s="37"/>
      <c r="R1191" s="37"/>
    </row>
    <row r="1192" spans="3:18" ht="16.5">
      <c r="C1192" s="37"/>
      <c r="F1192" s="37"/>
      <c r="I1192" s="37"/>
      <c r="L1192" s="37"/>
      <c r="O1192" s="37"/>
      <c r="R1192" s="37"/>
    </row>
  </sheetData>
  <sheetProtection/>
  <mergeCells count="15">
    <mergeCell ref="A1:J1"/>
    <mergeCell ref="D3:E3"/>
    <mergeCell ref="G3:H3"/>
    <mergeCell ref="J3:K3"/>
    <mergeCell ref="A4:A5"/>
    <mergeCell ref="B4:B5"/>
    <mergeCell ref="C4:E4"/>
    <mergeCell ref="F4:H4"/>
    <mergeCell ref="I4:K4"/>
    <mergeCell ref="P3:Q3"/>
    <mergeCell ref="O4:Q4"/>
    <mergeCell ref="S3:T3"/>
    <mergeCell ref="R4:T4"/>
    <mergeCell ref="M3:N3"/>
    <mergeCell ref="L4:N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M201"/>
  <sheetViews>
    <sheetView zoomScalePageLayoutView="0" workbookViewId="0" topLeftCell="A13">
      <selection activeCell="B235" sqref="A235:B235"/>
    </sheetView>
  </sheetViews>
  <sheetFormatPr defaultColWidth="9.140625" defaultRowHeight="12.75"/>
  <cols>
    <col min="1" max="1" width="23.7109375" style="229" customWidth="1"/>
    <col min="2" max="2" width="52.7109375" style="229" customWidth="1"/>
    <col min="3" max="3" width="11.140625" style="233" customWidth="1"/>
    <col min="4" max="4" width="11.28125" style="201" customWidth="1"/>
    <col min="5" max="5" width="9.57421875" style="201" customWidth="1"/>
    <col min="6" max="6" width="9.8515625" style="201" customWidth="1"/>
    <col min="7" max="7" width="8.7109375" style="201" customWidth="1"/>
    <col min="8" max="8" width="8.57421875" style="201" customWidth="1"/>
    <col min="9" max="9" width="8.421875" style="201" customWidth="1"/>
    <col min="10" max="10" width="9.28125" style="201" customWidth="1"/>
    <col min="11" max="11" width="11.421875" style="231" customWidth="1"/>
    <col min="12" max="12" width="13.57421875" style="231" customWidth="1"/>
    <col min="13" max="13" width="11.8515625" style="231" customWidth="1"/>
    <col min="14" max="16384" width="9.140625" style="201" customWidth="1"/>
  </cols>
  <sheetData>
    <row r="2" spans="1:3" ht="15.75">
      <c r="A2" s="231"/>
      <c r="B2" s="201"/>
      <c r="C2" s="231"/>
    </row>
    <row r="3" spans="1:13" ht="42.75" customHeight="1">
      <c r="A3" s="242" t="s">
        <v>272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246" customFormat="1" ht="110.25">
      <c r="A4" s="255" t="s">
        <v>190</v>
      </c>
      <c r="B4" s="243" t="s">
        <v>58</v>
      </c>
      <c r="C4" s="234" t="s">
        <v>283</v>
      </c>
      <c r="D4" s="202" t="s">
        <v>208</v>
      </c>
      <c r="E4" s="202" t="s">
        <v>209</v>
      </c>
      <c r="F4" s="202" t="s">
        <v>210</v>
      </c>
      <c r="G4" s="202" t="s">
        <v>211</v>
      </c>
      <c r="H4" s="202" t="s">
        <v>212</v>
      </c>
      <c r="I4" s="202" t="s">
        <v>213</v>
      </c>
      <c r="J4" s="202" t="s">
        <v>214</v>
      </c>
      <c r="K4" s="212" t="s">
        <v>200</v>
      </c>
      <c r="L4" s="212" t="s">
        <v>56</v>
      </c>
      <c r="M4" s="240" t="s">
        <v>215</v>
      </c>
    </row>
    <row r="5" spans="1:13" s="247" customFormat="1" ht="15.75">
      <c r="A5" s="212">
        <v>1</v>
      </c>
      <c r="B5" s="203">
        <v>2</v>
      </c>
      <c r="C5" s="205">
        <v>4</v>
      </c>
      <c r="D5" s="230">
        <v>5</v>
      </c>
      <c r="E5" s="230">
        <v>6</v>
      </c>
      <c r="F5" s="230">
        <v>7</v>
      </c>
      <c r="G5" s="230">
        <v>8</v>
      </c>
      <c r="H5" s="230">
        <v>9</v>
      </c>
      <c r="I5" s="230">
        <v>10</v>
      </c>
      <c r="J5" s="230">
        <v>11</v>
      </c>
      <c r="K5" s="230">
        <v>12</v>
      </c>
      <c r="L5" s="230">
        <v>13</v>
      </c>
      <c r="M5" s="230">
        <v>14</v>
      </c>
    </row>
    <row r="6" spans="1:13" s="246" customFormat="1" ht="15.75">
      <c r="A6" s="256" t="s">
        <v>59</v>
      </c>
      <c r="B6" s="207" t="s">
        <v>60</v>
      </c>
      <c r="C6" s="208">
        <f>C7+C8+C9+C10+C13+C17+C18+C19</f>
        <v>56602.5</v>
      </c>
      <c r="D6" s="208">
        <f aca="true" t="shared" si="0" ref="D6:J6">D7+D8+D9+D10+D13+D17+D18+D19</f>
        <v>1735</v>
      </c>
      <c r="E6" s="208">
        <f t="shared" si="0"/>
        <v>3589.4</v>
      </c>
      <c r="F6" s="208">
        <f t="shared" si="0"/>
        <v>3216.9</v>
      </c>
      <c r="G6" s="208">
        <f t="shared" si="0"/>
        <v>2242.2</v>
      </c>
      <c r="H6" s="208">
        <f t="shared" si="0"/>
        <v>3450.8999999999996</v>
      </c>
      <c r="I6" s="208">
        <f t="shared" si="0"/>
        <v>2762.6</v>
      </c>
      <c r="J6" s="208">
        <f t="shared" si="0"/>
        <v>3020.2999999999997</v>
      </c>
      <c r="K6" s="264">
        <f>SUM(D6:J6)</f>
        <v>20017.3</v>
      </c>
      <c r="L6" s="208">
        <f>L7+L8+L9+L10+L13+L17+L18+L19</f>
        <v>191</v>
      </c>
      <c r="M6" s="264">
        <f>K6+C6-L6</f>
        <v>76428.8</v>
      </c>
    </row>
    <row r="7" spans="1:13" s="246" customFormat="1" ht="31.5">
      <c r="A7" s="240" t="s">
        <v>61</v>
      </c>
      <c r="B7" s="212" t="s">
        <v>249</v>
      </c>
      <c r="C7" s="261">
        <f>1900</f>
        <v>1900</v>
      </c>
      <c r="D7" s="261">
        <v>0</v>
      </c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>
        <v>0</v>
      </c>
      <c r="K7" s="260">
        <f aca="true" t="shared" si="1" ref="K7:K71">SUM(D7:J7)</f>
        <v>0</v>
      </c>
      <c r="L7" s="261"/>
      <c r="M7" s="260">
        <f aca="true" t="shared" si="2" ref="M7:M71">K7+C7-L7</f>
        <v>1900</v>
      </c>
    </row>
    <row r="8" spans="1:13" s="246" customFormat="1" ht="15.75" hidden="1">
      <c r="A8" s="240" t="s">
        <v>62</v>
      </c>
      <c r="B8" s="212" t="s">
        <v>63</v>
      </c>
      <c r="C8" s="213">
        <f>0</f>
        <v>0</v>
      </c>
      <c r="D8" s="213">
        <f>0</f>
        <v>0</v>
      </c>
      <c r="E8" s="213">
        <f>0</f>
        <v>0</v>
      </c>
      <c r="F8" s="213">
        <f>0</f>
        <v>0</v>
      </c>
      <c r="G8" s="213">
        <f>0</f>
        <v>0</v>
      </c>
      <c r="H8" s="213">
        <f>0</f>
        <v>0</v>
      </c>
      <c r="I8" s="213">
        <f>0</f>
        <v>0</v>
      </c>
      <c r="J8" s="213">
        <f>0</f>
        <v>0</v>
      </c>
      <c r="K8" s="260">
        <f t="shared" si="1"/>
        <v>0</v>
      </c>
      <c r="L8" s="213"/>
      <c r="M8" s="260">
        <f t="shared" si="2"/>
        <v>0</v>
      </c>
    </row>
    <row r="9" spans="1:13" s="246" customFormat="1" ht="15.75" hidden="1">
      <c r="A9" s="240"/>
      <c r="B9" s="212"/>
      <c r="C9" s="213"/>
      <c r="D9" s="213"/>
      <c r="E9" s="213"/>
      <c r="F9" s="213"/>
      <c r="G9" s="213"/>
      <c r="H9" s="213"/>
      <c r="I9" s="213"/>
      <c r="J9" s="213"/>
      <c r="K9" s="260">
        <f t="shared" si="1"/>
        <v>0</v>
      </c>
      <c r="L9" s="213"/>
      <c r="M9" s="260">
        <f t="shared" si="2"/>
        <v>0</v>
      </c>
    </row>
    <row r="10" spans="1:13" s="246" customFormat="1" ht="15.75">
      <c r="A10" s="240" t="s">
        <v>64</v>
      </c>
      <c r="B10" s="212" t="s">
        <v>250</v>
      </c>
      <c r="C10" s="213">
        <v>21568.4</v>
      </c>
      <c r="D10" s="213">
        <v>0</v>
      </c>
      <c r="E10" s="213">
        <v>3499.4</v>
      </c>
      <c r="F10" s="213">
        <v>3146.9</v>
      </c>
      <c r="G10" s="213">
        <v>2162.2</v>
      </c>
      <c r="H10" s="213">
        <v>3297.7</v>
      </c>
      <c r="I10" s="213">
        <v>2709.4</v>
      </c>
      <c r="J10" s="213">
        <v>2915.6</v>
      </c>
      <c r="K10" s="260">
        <f t="shared" si="1"/>
        <v>17731.2</v>
      </c>
      <c r="L10" s="213"/>
      <c r="M10" s="260">
        <f t="shared" si="2"/>
        <v>39299.600000000006</v>
      </c>
    </row>
    <row r="11" spans="1:13" s="246" customFormat="1" ht="15.75" hidden="1">
      <c r="A11" s="240"/>
      <c r="B11" s="212" t="s">
        <v>65</v>
      </c>
      <c r="C11" s="213"/>
      <c r="D11" s="213"/>
      <c r="E11" s="213"/>
      <c r="F11" s="213"/>
      <c r="G11" s="213"/>
      <c r="H11" s="213"/>
      <c r="I11" s="213"/>
      <c r="J11" s="213"/>
      <c r="K11" s="260">
        <f t="shared" si="1"/>
        <v>0</v>
      </c>
      <c r="L11" s="213"/>
      <c r="M11" s="260">
        <f t="shared" si="2"/>
        <v>0</v>
      </c>
    </row>
    <row r="12" spans="1:13" s="246" customFormat="1" ht="15.75" hidden="1">
      <c r="A12" s="240"/>
      <c r="B12" s="212" t="s">
        <v>66</v>
      </c>
      <c r="C12" s="213">
        <f>0</f>
        <v>0</v>
      </c>
      <c r="D12" s="213">
        <f>0</f>
        <v>0</v>
      </c>
      <c r="E12" s="213">
        <f>0</f>
        <v>0</v>
      </c>
      <c r="F12" s="213">
        <f>0</f>
        <v>0</v>
      </c>
      <c r="G12" s="213">
        <f>0</f>
        <v>0</v>
      </c>
      <c r="H12" s="213">
        <f>0</f>
        <v>0</v>
      </c>
      <c r="I12" s="213">
        <f>0</f>
        <v>0</v>
      </c>
      <c r="J12" s="213">
        <f>0</f>
        <v>0</v>
      </c>
      <c r="K12" s="260">
        <f t="shared" si="1"/>
        <v>0</v>
      </c>
      <c r="L12" s="213">
        <f>0</f>
        <v>0</v>
      </c>
      <c r="M12" s="260">
        <f t="shared" si="2"/>
        <v>0</v>
      </c>
    </row>
    <row r="13" spans="1:13" s="246" customFormat="1" ht="31.5">
      <c r="A13" s="240" t="s">
        <v>67</v>
      </c>
      <c r="B13" s="212" t="s">
        <v>251</v>
      </c>
      <c r="C13" s="213">
        <f>C14+C15+C16</f>
        <v>9102.4</v>
      </c>
      <c r="D13" s="213">
        <f aca="true" t="shared" si="3" ref="D13:J13">D14+D15+D16</f>
        <v>0</v>
      </c>
      <c r="E13" s="213">
        <f t="shared" si="3"/>
        <v>35</v>
      </c>
      <c r="F13" s="213">
        <f t="shared" si="3"/>
        <v>35</v>
      </c>
      <c r="G13" s="213">
        <f t="shared" si="3"/>
        <v>25</v>
      </c>
      <c r="H13" s="213">
        <f t="shared" si="3"/>
        <v>38</v>
      </c>
      <c r="I13" s="213">
        <f t="shared" si="3"/>
        <v>28</v>
      </c>
      <c r="J13" s="213">
        <f t="shared" si="3"/>
        <v>30</v>
      </c>
      <c r="K13" s="260">
        <f t="shared" si="1"/>
        <v>191</v>
      </c>
      <c r="L13" s="213">
        <f>L14+L15+L16</f>
        <v>191</v>
      </c>
      <c r="M13" s="260">
        <f t="shared" si="2"/>
        <v>9102.4</v>
      </c>
    </row>
    <row r="14" spans="1:13" ht="31.5">
      <c r="A14" s="41"/>
      <c r="B14" s="39" t="s">
        <v>68</v>
      </c>
      <c r="C14" s="211">
        <f>8497.6-191</f>
        <v>8306.6</v>
      </c>
      <c r="D14" s="211">
        <v>0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62">
        <f t="shared" si="1"/>
        <v>0</v>
      </c>
      <c r="L14" s="211"/>
      <c r="M14" s="262">
        <f t="shared" si="2"/>
        <v>8306.6</v>
      </c>
    </row>
    <row r="15" spans="1:13" ht="15.75">
      <c r="A15" s="41"/>
      <c r="B15" s="39" t="s">
        <v>69</v>
      </c>
      <c r="C15" s="211">
        <v>191</v>
      </c>
      <c r="D15" s="211">
        <v>0</v>
      </c>
      <c r="E15" s="211">
        <v>35</v>
      </c>
      <c r="F15" s="211">
        <v>35</v>
      </c>
      <c r="G15" s="211">
        <v>25</v>
      </c>
      <c r="H15" s="211">
        <v>38</v>
      </c>
      <c r="I15" s="211">
        <v>28</v>
      </c>
      <c r="J15" s="211">
        <v>30</v>
      </c>
      <c r="K15" s="262">
        <f t="shared" si="1"/>
        <v>191</v>
      </c>
      <c r="L15" s="211">
        <f>K15</f>
        <v>191</v>
      </c>
      <c r="M15" s="262">
        <f t="shared" si="2"/>
        <v>191</v>
      </c>
    </row>
    <row r="16" spans="1:13" ht="31.5">
      <c r="A16" s="41"/>
      <c r="B16" s="39" t="s">
        <v>252</v>
      </c>
      <c r="C16" s="211">
        <v>604.8</v>
      </c>
      <c r="D16" s="211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62">
        <f t="shared" si="1"/>
        <v>0</v>
      </c>
      <c r="L16" s="211"/>
      <c r="M16" s="262">
        <f t="shared" si="2"/>
        <v>604.8</v>
      </c>
    </row>
    <row r="17" spans="1:13" ht="15.75" hidden="1">
      <c r="A17" s="41" t="s">
        <v>70</v>
      </c>
      <c r="B17" s="39" t="s">
        <v>71</v>
      </c>
      <c r="C17" s="211">
        <v>0</v>
      </c>
      <c r="D17" s="211">
        <v>0</v>
      </c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62">
        <f t="shared" si="1"/>
        <v>0</v>
      </c>
      <c r="L17" s="211">
        <v>0</v>
      </c>
      <c r="M17" s="262">
        <f t="shared" si="2"/>
        <v>0</v>
      </c>
    </row>
    <row r="18" spans="1:13" s="246" customFormat="1" ht="15.75">
      <c r="A18" s="240" t="s">
        <v>72</v>
      </c>
      <c r="B18" s="212" t="s">
        <v>73</v>
      </c>
      <c r="C18" s="213">
        <v>3500</v>
      </c>
      <c r="D18" s="213">
        <v>100</v>
      </c>
      <c r="E18" s="213">
        <v>50</v>
      </c>
      <c r="F18" s="213">
        <v>30</v>
      </c>
      <c r="G18" s="213">
        <v>50</v>
      </c>
      <c r="H18" s="213">
        <v>50</v>
      </c>
      <c r="I18" s="213">
        <v>20</v>
      </c>
      <c r="J18" s="213">
        <v>20</v>
      </c>
      <c r="K18" s="260">
        <f t="shared" si="1"/>
        <v>320</v>
      </c>
      <c r="L18" s="213"/>
      <c r="M18" s="260">
        <f t="shared" si="2"/>
        <v>3820</v>
      </c>
    </row>
    <row r="19" spans="1:13" s="246" customFormat="1" ht="31.5">
      <c r="A19" s="240" t="s">
        <v>74</v>
      </c>
      <c r="B19" s="212" t="s">
        <v>284</v>
      </c>
      <c r="C19" s="213">
        <f>C20+C21+C22+C24+C25+C27+C28+C29+C30+C32+C33</f>
        <v>20531.7</v>
      </c>
      <c r="D19" s="213">
        <f>D20+D21+D22+D24+D25+D27+D28+D29+D30+D32+D33</f>
        <v>1635</v>
      </c>
      <c r="E19" s="213">
        <f>E20+E21+E22+E24+E25+E27+E28+E29+E30+E32+E33</f>
        <v>5</v>
      </c>
      <c r="F19" s="213">
        <f>F20+F21+F22+F24+F25+F27+F28+F29+F30+F32+F33</f>
        <v>5</v>
      </c>
      <c r="G19" s="213">
        <f>G20+G21+G22+G24+G25+G27+G28+G29+G30+G32+G33</f>
        <v>5</v>
      </c>
      <c r="H19" s="213">
        <f>H20+H21+H22+H24+H25+H27+H28+H29+H30+H32+H33</f>
        <v>65.2</v>
      </c>
      <c r="I19" s="213">
        <f>I20+I21+I22+I24+I25+I27+I28+I29+I30+I32+I33</f>
        <v>5.2</v>
      </c>
      <c r="J19" s="213">
        <f>J20+J21+J22+J24+J25+J27+J28+J29+J30+J32+J33</f>
        <v>54.7</v>
      </c>
      <c r="K19" s="260">
        <f t="shared" si="1"/>
        <v>1775.1000000000001</v>
      </c>
      <c r="L19" s="213">
        <f>L20+L21+L22+L24+L25+L27+L28+L29+L30+L32+L33</f>
        <v>0</v>
      </c>
      <c r="M19" s="260">
        <f t="shared" si="2"/>
        <v>22306.8</v>
      </c>
    </row>
    <row r="20" spans="1:13" ht="15.75">
      <c r="A20" s="41"/>
      <c r="B20" s="39" t="s">
        <v>216</v>
      </c>
      <c r="C20" s="211">
        <v>0</v>
      </c>
      <c r="D20" s="211">
        <v>240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62">
        <f t="shared" si="1"/>
        <v>240</v>
      </c>
      <c r="L20" s="211">
        <v>0</v>
      </c>
      <c r="M20" s="262">
        <f t="shared" si="2"/>
        <v>240</v>
      </c>
    </row>
    <row r="21" spans="1:13" ht="31.5">
      <c r="A21" s="41"/>
      <c r="B21" s="235" t="s">
        <v>350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15</v>
      </c>
      <c r="I21" s="211">
        <v>0</v>
      </c>
      <c r="J21" s="211">
        <v>10</v>
      </c>
      <c r="K21" s="262">
        <f t="shared" si="1"/>
        <v>25</v>
      </c>
      <c r="L21" s="211"/>
      <c r="M21" s="262">
        <f t="shared" si="2"/>
        <v>25</v>
      </c>
    </row>
    <row r="22" spans="1:13" ht="47.25">
      <c r="A22" s="41"/>
      <c r="B22" s="39" t="s">
        <v>253</v>
      </c>
      <c r="C22" s="211">
        <v>6357.5</v>
      </c>
      <c r="D22" s="211">
        <v>850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62">
        <f t="shared" si="1"/>
        <v>850</v>
      </c>
      <c r="L22" s="211"/>
      <c r="M22" s="262">
        <f t="shared" si="2"/>
        <v>7207.5</v>
      </c>
    </row>
    <row r="23" spans="1:13" ht="15.75" hidden="1">
      <c r="A23" s="41"/>
      <c r="B23" s="41" t="s">
        <v>75</v>
      </c>
      <c r="C23" s="211">
        <v>23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62">
        <f t="shared" si="1"/>
        <v>0</v>
      </c>
      <c r="L23" s="211"/>
      <c r="M23" s="262">
        <f t="shared" si="2"/>
        <v>23</v>
      </c>
    </row>
    <row r="24" spans="1:13" ht="63" hidden="1">
      <c r="A24" s="41"/>
      <c r="B24" s="39" t="s">
        <v>76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62">
        <f t="shared" si="1"/>
        <v>0</v>
      </c>
      <c r="L24" s="211"/>
      <c r="M24" s="262">
        <f t="shared" si="2"/>
        <v>0</v>
      </c>
    </row>
    <row r="25" spans="1:13" ht="47.25">
      <c r="A25" s="41"/>
      <c r="B25" s="39" t="s">
        <v>254</v>
      </c>
      <c r="C25" s="211">
        <v>3325.5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62">
        <f t="shared" si="1"/>
        <v>0</v>
      </c>
      <c r="L25" s="211"/>
      <c r="M25" s="262">
        <f t="shared" si="2"/>
        <v>3325.5</v>
      </c>
    </row>
    <row r="26" spans="1:13" ht="15.75" hidden="1">
      <c r="A26" s="41"/>
      <c r="B26" s="41" t="s">
        <v>75</v>
      </c>
      <c r="C26" s="211">
        <f>0</f>
        <v>0</v>
      </c>
      <c r="D26" s="211">
        <f>0</f>
        <v>0</v>
      </c>
      <c r="E26" s="211">
        <f>0</f>
        <v>0</v>
      </c>
      <c r="F26" s="211">
        <f>0</f>
        <v>0</v>
      </c>
      <c r="G26" s="211">
        <f>0</f>
        <v>0</v>
      </c>
      <c r="H26" s="211">
        <v>0</v>
      </c>
      <c r="I26" s="211">
        <f>0</f>
        <v>0</v>
      </c>
      <c r="J26" s="211">
        <f>0</f>
        <v>0</v>
      </c>
      <c r="K26" s="262">
        <f t="shared" si="1"/>
        <v>0</v>
      </c>
      <c r="L26" s="211"/>
      <c r="M26" s="262">
        <f t="shared" si="2"/>
        <v>0</v>
      </c>
    </row>
    <row r="27" spans="1:13" ht="47.25">
      <c r="A27" s="41"/>
      <c r="B27" s="39" t="s">
        <v>255</v>
      </c>
      <c r="C27" s="211">
        <v>140.3</v>
      </c>
      <c r="D27" s="211">
        <v>50</v>
      </c>
      <c r="E27" s="211">
        <v>5</v>
      </c>
      <c r="F27" s="211">
        <v>5</v>
      </c>
      <c r="G27" s="211">
        <v>5</v>
      </c>
      <c r="H27" s="211">
        <v>5.2</v>
      </c>
      <c r="I27" s="211">
        <v>5.2</v>
      </c>
      <c r="J27" s="211">
        <v>4.7</v>
      </c>
      <c r="K27" s="262">
        <f t="shared" si="1"/>
        <v>80.10000000000001</v>
      </c>
      <c r="L27" s="211"/>
      <c r="M27" s="262">
        <f t="shared" si="2"/>
        <v>220.40000000000003</v>
      </c>
    </row>
    <row r="28" spans="1:13" ht="31.5">
      <c r="A28" s="41"/>
      <c r="B28" s="39" t="s">
        <v>234</v>
      </c>
      <c r="C28" s="211">
        <v>280</v>
      </c>
      <c r="D28" s="211">
        <v>495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62">
        <f t="shared" si="1"/>
        <v>495</v>
      </c>
      <c r="L28" s="211"/>
      <c r="M28" s="262">
        <f t="shared" si="2"/>
        <v>775</v>
      </c>
    </row>
    <row r="29" spans="1:13" ht="47.25">
      <c r="A29" s="41"/>
      <c r="B29" s="39" t="s">
        <v>256</v>
      </c>
      <c r="C29" s="211">
        <v>250</v>
      </c>
      <c r="D29" s="211">
        <v>0</v>
      </c>
      <c r="E29" s="211">
        <v>0</v>
      </c>
      <c r="F29" s="211">
        <v>0</v>
      </c>
      <c r="G29" s="211">
        <v>0</v>
      </c>
      <c r="H29" s="211">
        <v>45</v>
      </c>
      <c r="I29" s="211">
        <v>0</v>
      </c>
      <c r="J29" s="211">
        <v>40</v>
      </c>
      <c r="K29" s="262">
        <f t="shared" si="1"/>
        <v>85</v>
      </c>
      <c r="L29" s="211"/>
      <c r="M29" s="262">
        <f t="shared" si="2"/>
        <v>335</v>
      </c>
    </row>
    <row r="30" spans="1:13" ht="31.5">
      <c r="A30" s="41"/>
      <c r="B30" s="39" t="s">
        <v>285</v>
      </c>
      <c r="C30" s="211">
        <v>4116.7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62">
        <f t="shared" si="1"/>
        <v>0</v>
      </c>
      <c r="L30" s="211"/>
      <c r="M30" s="262">
        <f t="shared" si="2"/>
        <v>4116.7</v>
      </c>
    </row>
    <row r="31" spans="1:13" ht="31.5">
      <c r="A31" s="257"/>
      <c r="B31" s="254" t="s">
        <v>286</v>
      </c>
      <c r="C31" s="211">
        <v>618.7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62">
        <f t="shared" si="1"/>
        <v>0</v>
      </c>
      <c r="L31" s="211"/>
      <c r="M31" s="262">
        <f t="shared" si="2"/>
        <v>618.7</v>
      </c>
    </row>
    <row r="32" spans="1:13" ht="47.25" hidden="1">
      <c r="A32" s="258"/>
      <c r="B32" s="41" t="s">
        <v>77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62">
        <f t="shared" si="1"/>
        <v>0</v>
      </c>
      <c r="L32" s="211"/>
      <c r="M32" s="262">
        <f t="shared" si="2"/>
        <v>0</v>
      </c>
    </row>
    <row r="33" spans="1:13" ht="31.5">
      <c r="A33" s="41"/>
      <c r="B33" s="41" t="s">
        <v>12</v>
      </c>
      <c r="C33" s="211">
        <v>6061.7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  <c r="K33" s="262">
        <f t="shared" si="1"/>
        <v>0</v>
      </c>
      <c r="L33" s="211"/>
      <c r="M33" s="262">
        <f t="shared" si="2"/>
        <v>6061.7</v>
      </c>
    </row>
    <row r="34" spans="1:13" s="246" customFormat="1" ht="15.75">
      <c r="A34" s="256" t="s">
        <v>78</v>
      </c>
      <c r="B34" s="207" t="s">
        <v>79</v>
      </c>
      <c r="C34" s="208">
        <f>C35</f>
        <v>0</v>
      </c>
      <c r="D34" s="208">
        <f aca="true" t="shared" si="4" ref="D34:J34">D35</f>
        <v>0</v>
      </c>
      <c r="E34" s="208">
        <f t="shared" si="4"/>
        <v>206.6</v>
      </c>
      <c r="F34" s="208">
        <f t="shared" si="4"/>
        <v>82.6</v>
      </c>
      <c r="G34" s="208">
        <f t="shared" si="4"/>
        <v>82.6</v>
      </c>
      <c r="H34" s="208">
        <f t="shared" si="4"/>
        <v>206.6</v>
      </c>
      <c r="I34" s="208">
        <f t="shared" si="4"/>
        <v>206.6</v>
      </c>
      <c r="J34" s="208">
        <f t="shared" si="4"/>
        <v>206.6</v>
      </c>
      <c r="K34" s="264">
        <f t="shared" si="1"/>
        <v>991.6</v>
      </c>
      <c r="L34" s="208">
        <f>L35</f>
        <v>0</v>
      </c>
      <c r="M34" s="264">
        <f t="shared" si="2"/>
        <v>991.6</v>
      </c>
    </row>
    <row r="35" spans="1:13" s="246" customFormat="1" ht="31.5">
      <c r="A35" s="240" t="s">
        <v>80</v>
      </c>
      <c r="B35" s="212" t="s">
        <v>81</v>
      </c>
      <c r="C35" s="213">
        <f>0</f>
        <v>0</v>
      </c>
      <c r="D35" s="213">
        <f>0</f>
        <v>0</v>
      </c>
      <c r="E35" s="213">
        <v>206.6</v>
      </c>
      <c r="F35" s="213">
        <v>82.6</v>
      </c>
      <c r="G35" s="213">
        <v>82.6</v>
      </c>
      <c r="H35" s="213">
        <v>206.6</v>
      </c>
      <c r="I35" s="213">
        <v>206.6</v>
      </c>
      <c r="J35" s="213">
        <v>206.6</v>
      </c>
      <c r="K35" s="260">
        <f t="shared" si="1"/>
        <v>991.6</v>
      </c>
      <c r="L35" s="213"/>
      <c r="M35" s="260">
        <f t="shared" si="2"/>
        <v>991.6</v>
      </c>
    </row>
    <row r="36" spans="1:13" s="246" customFormat="1" ht="31.5">
      <c r="A36" s="256" t="s">
        <v>82</v>
      </c>
      <c r="B36" s="207" t="s">
        <v>257</v>
      </c>
      <c r="C36" s="208">
        <f>C37+C44</f>
        <v>0</v>
      </c>
      <c r="D36" s="208">
        <f aca="true" t="shared" si="5" ref="D36:J36">D37+D44</f>
        <v>730</v>
      </c>
      <c r="E36" s="208">
        <f t="shared" si="5"/>
        <v>0</v>
      </c>
      <c r="F36" s="208">
        <f t="shared" si="5"/>
        <v>0</v>
      </c>
      <c r="G36" s="208">
        <f t="shared" si="5"/>
        <v>0</v>
      </c>
      <c r="H36" s="208">
        <f t="shared" si="5"/>
        <v>0</v>
      </c>
      <c r="I36" s="208">
        <f t="shared" si="5"/>
        <v>0</v>
      </c>
      <c r="J36" s="208">
        <f t="shared" si="5"/>
        <v>0</v>
      </c>
      <c r="K36" s="264">
        <f t="shared" si="1"/>
        <v>730</v>
      </c>
      <c r="L36" s="208">
        <f>L37+L44</f>
        <v>0</v>
      </c>
      <c r="M36" s="264">
        <f t="shared" si="2"/>
        <v>730</v>
      </c>
    </row>
    <row r="37" spans="1:13" s="246" customFormat="1" ht="47.25">
      <c r="A37" s="240" t="s">
        <v>83</v>
      </c>
      <c r="B37" s="212" t="s">
        <v>287</v>
      </c>
      <c r="C37" s="213">
        <f>SUM(C39:C43)</f>
        <v>0</v>
      </c>
      <c r="D37" s="213">
        <f aca="true" t="shared" si="6" ref="D37:J37">SUM(D39:D43)</f>
        <v>730</v>
      </c>
      <c r="E37" s="213">
        <f t="shared" si="6"/>
        <v>0</v>
      </c>
      <c r="F37" s="213">
        <f t="shared" si="6"/>
        <v>0</v>
      </c>
      <c r="G37" s="213">
        <f t="shared" si="6"/>
        <v>0</v>
      </c>
      <c r="H37" s="213">
        <f t="shared" si="6"/>
        <v>0</v>
      </c>
      <c r="I37" s="213">
        <f t="shared" si="6"/>
        <v>0</v>
      </c>
      <c r="J37" s="213">
        <f t="shared" si="6"/>
        <v>0</v>
      </c>
      <c r="K37" s="260">
        <f t="shared" si="1"/>
        <v>730</v>
      </c>
      <c r="L37" s="213"/>
      <c r="M37" s="260">
        <f t="shared" si="2"/>
        <v>730</v>
      </c>
    </row>
    <row r="38" spans="1:13" ht="15.75" hidden="1">
      <c r="A38" s="41"/>
      <c r="B38" s="39" t="s">
        <v>84</v>
      </c>
      <c r="C38" s="211"/>
      <c r="D38" s="211"/>
      <c r="E38" s="211"/>
      <c r="F38" s="211"/>
      <c r="G38" s="211"/>
      <c r="H38" s="211"/>
      <c r="I38" s="211"/>
      <c r="J38" s="211"/>
      <c r="K38" s="262">
        <f t="shared" si="1"/>
        <v>0</v>
      </c>
      <c r="L38" s="211"/>
      <c r="M38" s="262">
        <f t="shared" si="2"/>
        <v>0</v>
      </c>
    </row>
    <row r="39" spans="1:13" ht="126" hidden="1">
      <c r="A39" s="41"/>
      <c r="B39" s="39" t="s">
        <v>327</v>
      </c>
      <c r="C39" s="211">
        <v>0</v>
      </c>
      <c r="D39" s="211">
        <v>0</v>
      </c>
      <c r="E39" s="211">
        <v>0</v>
      </c>
      <c r="F39" s="211">
        <v>0</v>
      </c>
      <c r="G39" s="211">
        <v>0</v>
      </c>
      <c r="H39" s="211">
        <v>0</v>
      </c>
      <c r="I39" s="211">
        <v>0</v>
      </c>
      <c r="J39" s="211">
        <v>0</v>
      </c>
      <c r="K39" s="262">
        <f t="shared" si="1"/>
        <v>0</v>
      </c>
      <c r="L39" s="211">
        <v>0</v>
      </c>
      <c r="M39" s="262">
        <f t="shared" si="2"/>
        <v>0</v>
      </c>
    </row>
    <row r="40" spans="1:13" ht="138" customHeight="1">
      <c r="A40" s="41"/>
      <c r="B40" s="236" t="s">
        <v>324</v>
      </c>
      <c r="C40" s="211">
        <v>0</v>
      </c>
      <c r="D40" s="211">
        <v>150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62">
        <f t="shared" si="1"/>
        <v>150</v>
      </c>
      <c r="L40" s="211"/>
      <c r="M40" s="262">
        <f t="shared" si="2"/>
        <v>150</v>
      </c>
    </row>
    <row r="41" spans="1:13" ht="157.5">
      <c r="A41" s="41"/>
      <c r="B41" s="235" t="s">
        <v>325</v>
      </c>
      <c r="C41" s="211">
        <v>0</v>
      </c>
      <c r="D41" s="211">
        <v>570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62">
        <f t="shared" si="1"/>
        <v>570</v>
      </c>
      <c r="L41" s="211"/>
      <c r="M41" s="262">
        <f t="shared" si="2"/>
        <v>570</v>
      </c>
    </row>
    <row r="42" spans="1:13" ht="141.75">
      <c r="A42" s="39"/>
      <c r="B42" s="236" t="s">
        <v>326</v>
      </c>
      <c r="C42" s="211">
        <v>0</v>
      </c>
      <c r="D42" s="211">
        <v>10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62">
        <f t="shared" si="1"/>
        <v>10</v>
      </c>
      <c r="L42" s="211"/>
      <c r="M42" s="262">
        <f t="shared" si="2"/>
        <v>10</v>
      </c>
    </row>
    <row r="43" spans="1:13" ht="110.25" hidden="1">
      <c r="A43" s="41"/>
      <c r="B43" s="39" t="s">
        <v>87</v>
      </c>
      <c r="C43" s="211">
        <v>0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62">
        <f t="shared" si="1"/>
        <v>0</v>
      </c>
      <c r="L43" s="211"/>
      <c r="M43" s="262">
        <f t="shared" si="2"/>
        <v>0</v>
      </c>
    </row>
    <row r="44" spans="1:13" ht="15.75" hidden="1">
      <c r="A44" s="41" t="s">
        <v>89</v>
      </c>
      <c r="B44" s="39" t="s">
        <v>90</v>
      </c>
      <c r="C44" s="211"/>
      <c r="D44" s="211"/>
      <c r="E44" s="211"/>
      <c r="F44" s="211"/>
      <c r="G44" s="211"/>
      <c r="H44" s="211"/>
      <c r="I44" s="211"/>
      <c r="J44" s="211"/>
      <c r="K44" s="262">
        <f t="shared" si="1"/>
        <v>0</v>
      </c>
      <c r="L44" s="211"/>
      <c r="M44" s="262">
        <f t="shared" si="2"/>
        <v>0</v>
      </c>
    </row>
    <row r="45" spans="1:13" ht="15.75" hidden="1">
      <c r="A45" s="41"/>
      <c r="B45" s="39" t="s">
        <v>91</v>
      </c>
      <c r="C45" s="211"/>
      <c r="D45" s="211"/>
      <c r="E45" s="211"/>
      <c r="F45" s="211"/>
      <c r="G45" s="211"/>
      <c r="H45" s="211"/>
      <c r="I45" s="211"/>
      <c r="J45" s="211"/>
      <c r="K45" s="262">
        <f t="shared" si="1"/>
        <v>0</v>
      </c>
      <c r="L45" s="211"/>
      <c r="M45" s="262">
        <f t="shared" si="2"/>
        <v>0</v>
      </c>
    </row>
    <row r="46" spans="1:13" s="246" customFormat="1" ht="15.75">
      <c r="A46" s="256" t="s">
        <v>92</v>
      </c>
      <c r="B46" s="207" t="s">
        <v>93</v>
      </c>
      <c r="C46" s="208">
        <f>C47+C49+C51+C65</f>
        <v>29846.499999999996</v>
      </c>
      <c r="D46" s="208">
        <f aca="true" t="shared" si="7" ref="D46:J46">D47+D49+D51+D65</f>
        <v>6059.1</v>
      </c>
      <c r="E46" s="208">
        <f t="shared" si="7"/>
        <v>3</v>
      </c>
      <c r="F46" s="208">
        <f t="shared" si="7"/>
        <v>43</v>
      </c>
      <c r="G46" s="208">
        <f t="shared" si="7"/>
        <v>63</v>
      </c>
      <c r="H46" s="208">
        <f t="shared" si="7"/>
        <v>53</v>
      </c>
      <c r="I46" s="208">
        <f t="shared" si="7"/>
        <v>3</v>
      </c>
      <c r="J46" s="208">
        <f t="shared" si="7"/>
        <v>53</v>
      </c>
      <c r="K46" s="264">
        <f t="shared" si="1"/>
        <v>6277.1</v>
      </c>
      <c r="L46" s="208">
        <f>L47+L49+L51+L65</f>
        <v>0</v>
      </c>
      <c r="M46" s="264">
        <f t="shared" si="2"/>
        <v>36123.6</v>
      </c>
    </row>
    <row r="47" spans="1:13" s="246" customFormat="1" ht="31.5">
      <c r="A47" s="240" t="s">
        <v>195</v>
      </c>
      <c r="B47" s="212" t="s">
        <v>258</v>
      </c>
      <c r="C47" s="213">
        <f>C48</f>
        <v>48.7</v>
      </c>
      <c r="D47" s="213">
        <f aca="true" t="shared" si="8" ref="D47:J47">D48</f>
        <v>0</v>
      </c>
      <c r="E47" s="213">
        <f t="shared" si="8"/>
        <v>0</v>
      </c>
      <c r="F47" s="213">
        <f t="shared" si="8"/>
        <v>0</v>
      </c>
      <c r="G47" s="213">
        <f t="shared" si="8"/>
        <v>0</v>
      </c>
      <c r="H47" s="213">
        <f t="shared" si="8"/>
        <v>0</v>
      </c>
      <c r="I47" s="213">
        <f t="shared" si="8"/>
        <v>0</v>
      </c>
      <c r="J47" s="213">
        <f t="shared" si="8"/>
        <v>0</v>
      </c>
      <c r="K47" s="260">
        <f t="shared" si="1"/>
        <v>0</v>
      </c>
      <c r="L47" s="213">
        <f>L48</f>
        <v>0</v>
      </c>
      <c r="M47" s="260">
        <f t="shared" si="2"/>
        <v>48.7</v>
      </c>
    </row>
    <row r="48" spans="1:13" ht="47.25">
      <c r="A48" s="41"/>
      <c r="B48" s="39" t="s">
        <v>196</v>
      </c>
      <c r="C48" s="211">
        <v>48.7</v>
      </c>
      <c r="D48" s="211">
        <v>0</v>
      </c>
      <c r="E48" s="211">
        <v>0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62">
        <f t="shared" si="1"/>
        <v>0</v>
      </c>
      <c r="L48" s="211"/>
      <c r="M48" s="262">
        <f t="shared" si="2"/>
        <v>48.7</v>
      </c>
    </row>
    <row r="49" spans="1:13" s="246" customFormat="1" ht="15.75">
      <c r="A49" s="240" t="s">
        <v>289</v>
      </c>
      <c r="B49" s="248" t="s">
        <v>290</v>
      </c>
      <c r="C49" s="213">
        <f>C50</f>
        <v>700</v>
      </c>
      <c r="D49" s="213">
        <f aca="true" t="shared" si="9" ref="D49:J49">D50</f>
        <v>200</v>
      </c>
      <c r="E49" s="213">
        <f t="shared" si="9"/>
        <v>0</v>
      </c>
      <c r="F49" s="213">
        <f t="shared" si="9"/>
        <v>0</v>
      </c>
      <c r="G49" s="213">
        <f t="shared" si="9"/>
        <v>0</v>
      </c>
      <c r="H49" s="213">
        <f t="shared" si="9"/>
        <v>0</v>
      </c>
      <c r="I49" s="213">
        <f t="shared" si="9"/>
        <v>0</v>
      </c>
      <c r="J49" s="213">
        <f t="shared" si="9"/>
        <v>0</v>
      </c>
      <c r="K49" s="260">
        <f t="shared" si="1"/>
        <v>200</v>
      </c>
      <c r="L49" s="213">
        <f>L50</f>
        <v>0</v>
      </c>
      <c r="M49" s="260">
        <f t="shared" si="2"/>
        <v>900</v>
      </c>
    </row>
    <row r="50" spans="1:13" ht="63">
      <c r="A50" s="41"/>
      <c r="B50" s="216" t="s">
        <v>291</v>
      </c>
      <c r="C50" s="211">
        <v>700</v>
      </c>
      <c r="D50" s="211">
        <v>200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62">
        <f t="shared" si="1"/>
        <v>200</v>
      </c>
      <c r="L50" s="211"/>
      <c r="M50" s="262">
        <f t="shared" si="2"/>
        <v>900</v>
      </c>
    </row>
    <row r="51" spans="1:13" s="246" customFormat="1" ht="15.75">
      <c r="A51" s="240" t="s">
        <v>94</v>
      </c>
      <c r="B51" s="244" t="s">
        <v>292</v>
      </c>
      <c r="C51" s="213">
        <f>SUM(C53:C63)</f>
        <v>28532.799999999996</v>
      </c>
      <c r="D51" s="213">
        <f aca="true" t="shared" si="10" ref="D51:J51">SUM(D53:D63)</f>
        <v>5809.1</v>
      </c>
      <c r="E51" s="213">
        <f t="shared" si="10"/>
        <v>0</v>
      </c>
      <c r="F51" s="213">
        <f t="shared" si="10"/>
        <v>0</v>
      </c>
      <c r="G51" s="213">
        <f t="shared" si="10"/>
        <v>0</v>
      </c>
      <c r="H51" s="213">
        <f t="shared" si="10"/>
        <v>0</v>
      </c>
      <c r="I51" s="213">
        <f t="shared" si="10"/>
        <v>0</v>
      </c>
      <c r="J51" s="213">
        <f t="shared" si="10"/>
        <v>0</v>
      </c>
      <c r="K51" s="260">
        <f t="shared" si="1"/>
        <v>5809.1</v>
      </c>
      <c r="L51" s="213">
        <f>SUM(L53:L63)</f>
        <v>0</v>
      </c>
      <c r="M51" s="260">
        <f t="shared" si="2"/>
        <v>34341.899999999994</v>
      </c>
    </row>
    <row r="52" spans="1:13" ht="15.75">
      <c r="A52" s="41"/>
      <c r="B52" s="40" t="s">
        <v>84</v>
      </c>
      <c r="C52" s="211"/>
      <c r="D52" s="211"/>
      <c r="E52" s="211"/>
      <c r="F52" s="211"/>
      <c r="G52" s="211"/>
      <c r="H52" s="211"/>
      <c r="I52" s="211"/>
      <c r="J52" s="211"/>
      <c r="K52" s="262">
        <f t="shared" si="1"/>
        <v>0</v>
      </c>
      <c r="L52" s="211"/>
      <c r="M52" s="262">
        <f t="shared" si="2"/>
        <v>0</v>
      </c>
    </row>
    <row r="53" spans="1:13" ht="31.5">
      <c r="A53" s="41"/>
      <c r="B53" s="217" t="s">
        <v>293</v>
      </c>
      <c r="C53" s="211">
        <v>100</v>
      </c>
      <c r="D53" s="211">
        <v>0</v>
      </c>
      <c r="E53" s="211"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62">
        <f t="shared" si="1"/>
        <v>0</v>
      </c>
      <c r="L53" s="211"/>
      <c r="M53" s="262">
        <f t="shared" si="2"/>
        <v>100</v>
      </c>
    </row>
    <row r="54" spans="1:13" ht="31.5">
      <c r="A54" s="41"/>
      <c r="B54" s="217" t="s">
        <v>294</v>
      </c>
      <c r="C54" s="211">
        <v>100</v>
      </c>
      <c r="D54" s="211">
        <v>0</v>
      </c>
      <c r="E54" s="211">
        <v>0</v>
      </c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62">
        <f t="shared" si="1"/>
        <v>0</v>
      </c>
      <c r="L54" s="211"/>
      <c r="M54" s="262">
        <f t="shared" si="2"/>
        <v>100</v>
      </c>
    </row>
    <row r="55" spans="1:13" ht="66.75" customHeight="1" hidden="1">
      <c r="A55" s="41"/>
      <c r="B55" s="40" t="s">
        <v>187</v>
      </c>
      <c r="C55" s="211">
        <f>0</f>
        <v>0</v>
      </c>
      <c r="D55" s="211">
        <f>0</f>
        <v>0</v>
      </c>
      <c r="E55" s="211">
        <f>0</f>
        <v>0</v>
      </c>
      <c r="F55" s="211">
        <f>0</f>
        <v>0</v>
      </c>
      <c r="G55" s="211">
        <v>0</v>
      </c>
      <c r="H55" s="211">
        <f>0</f>
        <v>0</v>
      </c>
      <c r="I55" s="211">
        <f>0</f>
        <v>0</v>
      </c>
      <c r="J55" s="211">
        <f>0</f>
        <v>0</v>
      </c>
      <c r="K55" s="262">
        <f t="shared" si="1"/>
        <v>0</v>
      </c>
      <c r="L55" s="211"/>
      <c r="M55" s="262">
        <f t="shared" si="2"/>
        <v>0</v>
      </c>
    </row>
    <row r="56" spans="1:13" ht="63">
      <c r="A56" s="41"/>
      <c r="B56" s="40" t="s">
        <v>295</v>
      </c>
      <c r="C56" s="211">
        <v>9091.5</v>
      </c>
      <c r="D56" s="211">
        <v>0</v>
      </c>
      <c r="E56" s="211">
        <v>0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  <c r="K56" s="262">
        <f t="shared" si="1"/>
        <v>0</v>
      </c>
      <c r="L56" s="211"/>
      <c r="M56" s="262">
        <f t="shared" si="2"/>
        <v>9091.5</v>
      </c>
    </row>
    <row r="57" spans="1:13" ht="63">
      <c r="A57" s="41"/>
      <c r="B57" s="39" t="s">
        <v>197</v>
      </c>
      <c r="C57" s="211">
        <v>90.9</v>
      </c>
      <c r="D57" s="211">
        <v>0</v>
      </c>
      <c r="E57" s="211"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62">
        <f t="shared" si="1"/>
        <v>0</v>
      </c>
      <c r="L57" s="211"/>
      <c r="M57" s="262">
        <f t="shared" si="2"/>
        <v>90.9</v>
      </c>
    </row>
    <row r="58" spans="1:13" ht="74.25" customHeight="1">
      <c r="A58" s="41"/>
      <c r="B58" s="217" t="s">
        <v>296</v>
      </c>
      <c r="C58" s="209">
        <f>(19241.3-90.9-500-489.4-1600-2000)</f>
        <v>14560.999999999996</v>
      </c>
      <c r="D58" s="209">
        <v>0</v>
      </c>
      <c r="E58" s="209">
        <v>0</v>
      </c>
      <c r="F58" s="209">
        <v>0</v>
      </c>
      <c r="G58" s="209">
        <v>0</v>
      </c>
      <c r="H58" s="209">
        <v>0</v>
      </c>
      <c r="I58" s="209">
        <v>0</v>
      </c>
      <c r="J58" s="209">
        <v>0</v>
      </c>
      <c r="K58" s="262">
        <f t="shared" si="1"/>
        <v>0</v>
      </c>
      <c r="L58" s="209"/>
      <c r="M58" s="262">
        <f t="shared" si="2"/>
        <v>14560.999999999996</v>
      </c>
    </row>
    <row r="59" spans="1:13" ht="74.25" customHeight="1">
      <c r="A59" s="41"/>
      <c r="B59" s="237" t="s">
        <v>328</v>
      </c>
      <c r="C59" s="209">
        <v>0</v>
      </c>
      <c r="D59" s="209">
        <v>3409.1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209">
        <v>0</v>
      </c>
      <c r="K59" s="262">
        <f t="shared" si="1"/>
        <v>3409.1</v>
      </c>
      <c r="L59" s="209"/>
      <c r="M59" s="262"/>
    </row>
    <row r="60" spans="1:13" ht="51.75" customHeight="1">
      <c r="A60" s="41"/>
      <c r="B60" s="218" t="s">
        <v>297</v>
      </c>
      <c r="C60" s="209">
        <f>2000</f>
        <v>2000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 s="209">
        <v>0</v>
      </c>
      <c r="K60" s="262">
        <f t="shared" si="1"/>
        <v>0</v>
      </c>
      <c r="L60" s="209"/>
      <c r="M60" s="262">
        <f t="shared" si="2"/>
        <v>2000</v>
      </c>
    </row>
    <row r="61" spans="1:13" ht="15.75">
      <c r="A61" s="41"/>
      <c r="B61" s="217" t="s">
        <v>298</v>
      </c>
      <c r="C61" s="209">
        <f>489.4</f>
        <v>489.4</v>
      </c>
      <c r="D61" s="209">
        <v>2000</v>
      </c>
      <c r="E61" s="209">
        <v>0</v>
      </c>
      <c r="F61" s="209">
        <v>0</v>
      </c>
      <c r="G61" s="209">
        <v>0</v>
      </c>
      <c r="H61" s="209">
        <v>0</v>
      </c>
      <c r="I61" s="209">
        <v>0</v>
      </c>
      <c r="J61" s="209">
        <v>0</v>
      </c>
      <c r="K61" s="262">
        <f t="shared" si="1"/>
        <v>2000</v>
      </c>
      <c r="L61" s="209"/>
      <c r="M61" s="262">
        <f t="shared" si="2"/>
        <v>2489.4</v>
      </c>
    </row>
    <row r="62" spans="1:13" ht="15.75">
      <c r="A62" s="41"/>
      <c r="B62" s="217" t="s">
        <v>299</v>
      </c>
      <c r="C62" s="209">
        <f>1600</f>
        <v>1600</v>
      </c>
      <c r="D62" s="209">
        <v>0</v>
      </c>
      <c r="E62" s="209">
        <v>0</v>
      </c>
      <c r="F62" s="209">
        <v>0</v>
      </c>
      <c r="G62" s="209">
        <v>0</v>
      </c>
      <c r="H62" s="209">
        <v>0</v>
      </c>
      <c r="I62" s="209">
        <v>0</v>
      </c>
      <c r="J62" s="209">
        <v>0</v>
      </c>
      <c r="K62" s="262">
        <f t="shared" si="1"/>
        <v>0</v>
      </c>
      <c r="L62" s="209"/>
      <c r="M62" s="262">
        <f t="shared" si="2"/>
        <v>1600</v>
      </c>
    </row>
    <row r="63" spans="1:13" ht="31.5">
      <c r="A63" s="41"/>
      <c r="B63" s="219" t="s">
        <v>300</v>
      </c>
      <c r="C63" s="209">
        <f>500</f>
        <v>500</v>
      </c>
      <c r="D63" s="209">
        <v>400</v>
      </c>
      <c r="E63" s="209">
        <v>0</v>
      </c>
      <c r="F63" s="209">
        <v>0</v>
      </c>
      <c r="G63" s="209">
        <v>0</v>
      </c>
      <c r="H63" s="209">
        <v>0</v>
      </c>
      <c r="I63" s="209">
        <v>0</v>
      </c>
      <c r="J63" s="209">
        <v>0</v>
      </c>
      <c r="K63" s="262">
        <f t="shared" si="1"/>
        <v>400</v>
      </c>
      <c r="L63" s="209"/>
      <c r="M63" s="262">
        <f t="shared" si="2"/>
        <v>900</v>
      </c>
    </row>
    <row r="64" spans="1:13" ht="31.5" hidden="1">
      <c r="A64" s="41"/>
      <c r="B64" s="41" t="s">
        <v>12</v>
      </c>
      <c r="C64" s="209"/>
      <c r="D64" s="209"/>
      <c r="E64" s="209"/>
      <c r="F64" s="209"/>
      <c r="G64" s="209"/>
      <c r="H64" s="209"/>
      <c r="I64" s="209"/>
      <c r="J64" s="209"/>
      <c r="K64" s="262">
        <f t="shared" si="1"/>
        <v>0</v>
      </c>
      <c r="L64" s="209"/>
      <c r="M64" s="262">
        <f t="shared" si="2"/>
        <v>0</v>
      </c>
    </row>
    <row r="65" spans="1:13" s="246" customFormat="1" ht="31.5">
      <c r="A65" s="240" t="s">
        <v>95</v>
      </c>
      <c r="B65" s="212" t="s">
        <v>301</v>
      </c>
      <c r="C65" s="213">
        <f>C66+C67+C68</f>
        <v>565</v>
      </c>
      <c r="D65" s="213">
        <f aca="true" t="shared" si="11" ref="D65:J65">D66+D67+D68</f>
        <v>50</v>
      </c>
      <c r="E65" s="213">
        <f t="shared" si="11"/>
        <v>3</v>
      </c>
      <c r="F65" s="213">
        <f t="shared" si="11"/>
        <v>43</v>
      </c>
      <c r="G65" s="213">
        <f t="shared" si="11"/>
        <v>63</v>
      </c>
      <c r="H65" s="213">
        <f t="shared" si="11"/>
        <v>53</v>
      </c>
      <c r="I65" s="213">
        <f t="shared" si="11"/>
        <v>3</v>
      </c>
      <c r="J65" s="213">
        <f t="shared" si="11"/>
        <v>53</v>
      </c>
      <c r="K65" s="260">
        <f t="shared" si="1"/>
        <v>268</v>
      </c>
      <c r="L65" s="213">
        <f>L66+L67+L68</f>
        <v>0</v>
      </c>
      <c r="M65" s="260">
        <f t="shared" si="2"/>
        <v>833</v>
      </c>
    </row>
    <row r="66" spans="1:13" ht="31.5">
      <c r="A66" s="41"/>
      <c r="B66" s="39" t="s">
        <v>270</v>
      </c>
      <c r="C66" s="211">
        <v>550</v>
      </c>
      <c r="D66" s="211">
        <v>50</v>
      </c>
      <c r="E66" s="211">
        <v>0</v>
      </c>
      <c r="F66" s="211">
        <v>40</v>
      </c>
      <c r="G66" s="211">
        <v>60</v>
      </c>
      <c r="H66" s="211">
        <v>50</v>
      </c>
      <c r="I66" s="211">
        <v>0</v>
      </c>
      <c r="J66" s="211">
        <v>50</v>
      </c>
      <c r="K66" s="262">
        <f t="shared" si="1"/>
        <v>250</v>
      </c>
      <c r="L66" s="211"/>
      <c r="M66" s="262">
        <f t="shared" si="2"/>
        <v>800</v>
      </c>
    </row>
    <row r="67" spans="1:13" ht="15.75">
      <c r="A67" s="41"/>
      <c r="B67" s="220" t="s">
        <v>349</v>
      </c>
      <c r="C67" s="211">
        <v>15</v>
      </c>
      <c r="D67" s="211">
        <v>0</v>
      </c>
      <c r="E67" s="211">
        <v>3</v>
      </c>
      <c r="F67" s="211">
        <v>3</v>
      </c>
      <c r="G67" s="211">
        <v>3</v>
      </c>
      <c r="H67" s="211">
        <v>3</v>
      </c>
      <c r="I67" s="211">
        <v>3</v>
      </c>
      <c r="J67" s="211">
        <v>3</v>
      </c>
      <c r="K67" s="262">
        <f t="shared" si="1"/>
        <v>18</v>
      </c>
      <c r="L67" s="211"/>
      <c r="M67" s="262">
        <f t="shared" si="2"/>
        <v>33</v>
      </c>
    </row>
    <row r="68" spans="1:13" ht="110.25" hidden="1">
      <c r="A68" s="41"/>
      <c r="B68" s="39" t="s">
        <v>259</v>
      </c>
      <c r="C68" s="211"/>
      <c r="D68" s="211"/>
      <c r="E68" s="211"/>
      <c r="F68" s="211"/>
      <c r="G68" s="211"/>
      <c r="H68" s="211"/>
      <c r="I68" s="211"/>
      <c r="J68" s="211"/>
      <c r="K68" s="262">
        <f t="shared" si="1"/>
        <v>0</v>
      </c>
      <c r="L68" s="211"/>
      <c r="M68" s="262">
        <f t="shared" si="2"/>
        <v>0</v>
      </c>
    </row>
    <row r="69" spans="1:13" s="246" customFormat="1" ht="15.75">
      <c r="A69" s="256" t="s">
        <v>96</v>
      </c>
      <c r="B69" s="207" t="s">
        <v>97</v>
      </c>
      <c r="C69" s="208">
        <f>C70+C74+C81</f>
        <v>3600</v>
      </c>
      <c r="D69" s="208">
        <f>D70+D74+D81</f>
        <v>35265</v>
      </c>
      <c r="E69" s="208">
        <f>E70+E74+E81</f>
        <v>1292</v>
      </c>
      <c r="F69" s="208">
        <f>F70+F74+F81</f>
        <v>778.2</v>
      </c>
      <c r="G69" s="208">
        <f>G70+G74+G81</f>
        <v>1296.5</v>
      </c>
      <c r="H69" s="208">
        <f>H70+H74+H81</f>
        <v>1655</v>
      </c>
      <c r="I69" s="208">
        <f>I70+I74+I81</f>
        <v>702.6</v>
      </c>
      <c r="J69" s="208">
        <f>J70+J74+J81</f>
        <v>1100.7</v>
      </c>
      <c r="K69" s="264">
        <f t="shared" si="1"/>
        <v>42089.99999999999</v>
      </c>
      <c r="L69" s="208">
        <f>L70+L74+L81</f>
        <v>0</v>
      </c>
      <c r="M69" s="264">
        <f t="shared" si="2"/>
        <v>45689.99999999999</v>
      </c>
    </row>
    <row r="70" spans="1:13" s="246" customFormat="1" ht="15.75">
      <c r="A70" s="240" t="s">
        <v>98</v>
      </c>
      <c r="B70" s="212" t="s">
        <v>99</v>
      </c>
      <c r="C70" s="213">
        <f>C71+C72+C73</f>
        <v>3500</v>
      </c>
      <c r="D70" s="213">
        <f aca="true" t="shared" si="12" ref="D70:J70">D71+D72+D73</f>
        <v>1600</v>
      </c>
      <c r="E70" s="213">
        <f t="shared" si="12"/>
        <v>0</v>
      </c>
      <c r="F70" s="213">
        <f t="shared" si="12"/>
        <v>0</v>
      </c>
      <c r="G70" s="213">
        <f t="shared" si="12"/>
        <v>0</v>
      </c>
      <c r="H70" s="213">
        <f t="shared" si="12"/>
        <v>0</v>
      </c>
      <c r="I70" s="213">
        <f t="shared" si="12"/>
        <v>0</v>
      </c>
      <c r="J70" s="213">
        <f t="shared" si="12"/>
        <v>0</v>
      </c>
      <c r="K70" s="260">
        <f t="shared" si="1"/>
        <v>1600</v>
      </c>
      <c r="L70" s="213">
        <f>L71+L72+L73</f>
        <v>0</v>
      </c>
      <c r="M70" s="260">
        <f t="shared" si="2"/>
        <v>5100</v>
      </c>
    </row>
    <row r="71" spans="1:13" ht="31.5">
      <c r="A71" s="41"/>
      <c r="B71" s="39" t="s">
        <v>260</v>
      </c>
      <c r="C71" s="211">
        <v>2000</v>
      </c>
      <c r="D71" s="211">
        <v>1000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62">
        <f t="shared" si="1"/>
        <v>1000</v>
      </c>
      <c r="L71" s="211"/>
      <c r="M71" s="262">
        <f t="shared" si="2"/>
        <v>3000</v>
      </c>
    </row>
    <row r="72" spans="1:13" ht="63">
      <c r="A72" s="41"/>
      <c r="B72" s="39" t="s">
        <v>329</v>
      </c>
      <c r="C72" s="211">
        <v>0</v>
      </c>
      <c r="D72" s="211">
        <v>600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  <c r="K72" s="262"/>
      <c r="L72" s="211"/>
      <c r="M72" s="262"/>
    </row>
    <row r="73" spans="1:13" ht="31.5">
      <c r="A73" s="41"/>
      <c r="B73" s="221" t="s">
        <v>303</v>
      </c>
      <c r="C73" s="211">
        <v>1500</v>
      </c>
      <c r="D73" s="211">
        <v>0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62">
        <f aca="true" t="shared" si="13" ref="K73:K154">SUM(D73:J73)</f>
        <v>0</v>
      </c>
      <c r="L73" s="211"/>
      <c r="M73" s="262">
        <f aca="true" t="shared" si="14" ref="M73:M154">K73+C73-L73</f>
        <v>1500</v>
      </c>
    </row>
    <row r="74" spans="1:13" s="246" customFormat="1" ht="15.75">
      <c r="A74" s="240" t="s">
        <v>100</v>
      </c>
      <c r="B74" s="212" t="s">
        <v>261</v>
      </c>
      <c r="C74" s="213">
        <f>SUM(C75:C80)</f>
        <v>100</v>
      </c>
      <c r="D74" s="213">
        <f aca="true" t="shared" si="15" ref="D74:J74">SUM(D75:D80)</f>
        <v>6500</v>
      </c>
      <c r="E74" s="213">
        <f t="shared" si="15"/>
        <v>0</v>
      </c>
      <c r="F74" s="213">
        <f t="shared" si="15"/>
        <v>0</v>
      </c>
      <c r="G74" s="213">
        <f t="shared" si="15"/>
        <v>0</v>
      </c>
      <c r="H74" s="213">
        <f t="shared" si="15"/>
        <v>0</v>
      </c>
      <c r="I74" s="213">
        <f t="shared" si="15"/>
        <v>0</v>
      </c>
      <c r="J74" s="213">
        <f t="shared" si="15"/>
        <v>0</v>
      </c>
      <c r="K74" s="260">
        <f t="shared" si="13"/>
        <v>6500</v>
      </c>
      <c r="L74" s="213">
        <f>SUM(L75:L80)</f>
        <v>0</v>
      </c>
      <c r="M74" s="260">
        <f t="shared" si="14"/>
        <v>6600</v>
      </c>
    </row>
    <row r="75" spans="1:13" ht="31.5">
      <c r="A75" s="41"/>
      <c r="B75" s="220" t="s">
        <v>304</v>
      </c>
      <c r="C75" s="211">
        <v>100</v>
      </c>
      <c r="D75" s="211">
        <v>0</v>
      </c>
      <c r="E75" s="211">
        <v>0</v>
      </c>
      <c r="F75" s="211">
        <v>0</v>
      </c>
      <c r="G75" s="211">
        <v>0</v>
      </c>
      <c r="H75" s="211">
        <v>0</v>
      </c>
      <c r="I75" s="211">
        <v>0</v>
      </c>
      <c r="J75" s="211">
        <v>0</v>
      </c>
      <c r="K75" s="262">
        <f t="shared" si="13"/>
        <v>0</v>
      </c>
      <c r="L75" s="211"/>
      <c r="M75" s="262">
        <f t="shared" si="14"/>
        <v>100</v>
      </c>
    </row>
    <row r="76" spans="1:13" ht="94.5" hidden="1">
      <c r="A76" s="41"/>
      <c r="B76" s="39" t="s">
        <v>262</v>
      </c>
      <c r="C76" s="211">
        <v>0</v>
      </c>
      <c r="D76" s="211">
        <v>0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62">
        <f t="shared" si="13"/>
        <v>0</v>
      </c>
      <c r="L76" s="211"/>
      <c r="M76" s="262">
        <f t="shared" si="14"/>
        <v>0</v>
      </c>
    </row>
    <row r="77" spans="1:13" ht="63" hidden="1">
      <c r="A77" s="41"/>
      <c r="B77" s="39" t="s">
        <v>101</v>
      </c>
      <c r="C77" s="211">
        <v>0</v>
      </c>
      <c r="D77" s="211">
        <v>0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  <c r="K77" s="262">
        <f t="shared" si="13"/>
        <v>0</v>
      </c>
      <c r="L77" s="211"/>
      <c r="M77" s="262">
        <f t="shared" si="14"/>
        <v>0</v>
      </c>
    </row>
    <row r="78" spans="1:13" ht="63" hidden="1">
      <c r="A78" s="41"/>
      <c r="B78" s="39" t="s">
        <v>102</v>
      </c>
      <c r="C78" s="211">
        <v>0</v>
      </c>
      <c r="D78" s="211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62">
        <f t="shared" si="13"/>
        <v>0</v>
      </c>
      <c r="L78" s="211"/>
      <c r="M78" s="262">
        <f t="shared" si="14"/>
        <v>0</v>
      </c>
    </row>
    <row r="79" spans="1:13" ht="47.25">
      <c r="A79" s="41"/>
      <c r="B79" s="39" t="s">
        <v>330</v>
      </c>
      <c r="C79" s="211">
        <v>0</v>
      </c>
      <c r="D79" s="211">
        <v>1500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62">
        <f t="shared" si="13"/>
        <v>1500</v>
      </c>
      <c r="L79" s="211"/>
      <c r="M79" s="262">
        <f t="shared" si="14"/>
        <v>1500</v>
      </c>
    </row>
    <row r="80" spans="1:13" ht="47.25">
      <c r="A80" s="41"/>
      <c r="B80" s="39" t="s">
        <v>331</v>
      </c>
      <c r="C80" s="211"/>
      <c r="D80" s="211">
        <v>5000</v>
      </c>
      <c r="E80" s="211">
        <v>0</v>
      </c>
      <c r="F80" s="211">
        <v>0</v>
      </c>
      <c r="G80" s="211">
        <v>0</v>
      </c>
      <c r="H80" s="211">
        <v>0</v>
      </c>
      <c r="I80" s="211">
        <v>0</v>
      </c>
      <c r="J80" s="211">
        <v>0</v>
      </c>
      <c r="K80" s="262">
        <f t="shared" si="13"/>
        <v>5000</v>
      </c>
      <c r="L80" s="211"/>
      <c r="M80" s="262"/>
    </row>
    <row r="81" spans="1:13" s="246" customFormat="1" ht="15.75">
      <c r="A81" s="240" t="s">
        <v>103</v>
      </c>
      <c r="B81" s="212" t="s">
        <v>348</v>
      </c>
      <c r="C81" s="213">
        <f>SUM(C82:C103)</f>
        <v>0</v>
      </c>
      <c r="D81" s="213">
        <f>SUM(D82:D103)</f>
        <v>27165</v>
      </c>
      <c r="E81" s="213">
        <f>SUM(E82:E103)</f>
        <v>1292</v>
      </c>
      <c r="F81" s="213">
        <f>SUM(F82:F103)</f>
        <v>778.2</v>
      </c>
      <c r="G81" s="213">
        <f>SUM(G82:G103)</f>
        <v>1296.5</v>
      </c>
      <c r="H81" s="213">
        <f>SUM(H82:H103)</f>
        <v>1655</v>
      </c>
      <c r="I81" s="213">
        <f>SUM(I82:I103)</f>
        <v>702.6</v>
      </c>
      <c r="J81" s="213">
        <f>SUM(J82:J103)</f>
        <v>1100.7</v>
      </c>
      <c r="K81" s="260">
        <f t="shared" si="13"/>
        <v>33990</v>
      </c>
      <c r="L81" s="213">
        <f>SUM(L82:L103)</f>
        <v>0</v>
      </c>
      <c r="M81" s="260">
        <f t="shared" si="14"/>
        <v>33990</v>
      </c>
    </row>
    <row r="82" spans="1:13" ht="35.25" customHeight="1">
      <c r="A82" s="41"/>
      <c r="B82" s="236" t="s">
        <v>353</v>
      </c>
      <c r="C82" s="263">
        <v>0</v>
      </c>
      <c r="D82" s="238">
        <v>225</v>
      </c>
      <c r="E82" s="211">
        <v>30</v>
      </c>
      <c r="F82" s="211">
        <v>15</v>
      </c>
      <c r="G82" s="211">
        <v>0</v>
      </c>
      <c r="H82" s="211">
        <v>15</v>
      </c>
      <c r="I82" s="211">
        <v>20</v>
      </c>
      <c r="J82" s="211">
        <v>0</v>
      </c>
      <c r="K82" s="262"/>
      <c r="L82" s="263"/>
      <c r="M82" s="262"/>
    </row>
    <row r="83" spans="1:13" ht="15.75">
      <c r="A83" s="41"/>
      <c r="B83" s="236" t="s">
        <v>332</v>
      </c>
      <c r="C83" s="263">
        <v>0</v>
      </c>
      <c r="D83" s="238">
        <v>125</v>
      </c>
      <c r="E83" s="211">
        <v>0</v>
      </c>
      <c r="F83" s="211">
        <v>0</v>
      </c>
      <c r="G83" s="211">
        <v>0</v>
      </c>
      <c r="H83" s="211">
        <v>0</v>
      </c>
      <c r="I83" s="211">
        <v>0</v>
      </c>
      <c r="J83" s="211">
        <v>0</v>
      </c>
      <c r="K83" s="262"/>
      <c r="L83" s="263"/>
      <c r="M83" s="262"/>
    </row>
    <row r="84" spans="1:13" ht="31.5">
      <c r="A84" s="41"/>
      <c r="B84" s="236" t="s">
        <v>333</v>
      </c>
      <c r="C84" s="263">
        <v>0</v>
      </c>
      <c r="D84" s="238">
        <v>125</v>
      </c>
      <c r="E84" s="211">
        <v>10</v>
      </c>
      <c r="F84" s="211">
        <v>20</v>
      </c>
      <c r="G84" s="211">
        <v>20</v>
      </c>
      <c r="H84" s="211">
        <v>25</v>
      </c>
      <c r="I84" s="211">
        <v>10</v>
      </c>
      <c r="J84" s="211">
        <v>13.7</v>
      </c>
      <c r="K84" s="262"/>
      <c r="L84" s="263"/>
      <c r="M84" s="262"/>
    </row>
    <row r="85" spans="1:13" ht="15.75">
      <c r="A85" s="41"/>
      <c r="B85" s="236" t="s">
        <v>334</v>
      </c>
      <c r="C85" s="263">
        <v>0</v>
      </c>
      <c r="D85" s="238">
        <v>400</v>
      </c>
      <c r="E85" s="211">
        <v>120</v>
      </c>
      <c r="F85" s="211">
        <v>50</v>
      </c>
      <c r="G85" s="211">
        <v>58</v>
      </c>
      <c r="H85" s="211">
        <v>100</v>
      </c>
      <c r="I85" s="211">
        <v>50</v>
      </c>
      <c r="J85" s="211">
        <v>37.5</v>
      </c>
      <c r="K85" s="262"/>
      <c r="L85" s="263"/>
      <c r="M85" s="262"/>
    </row>
    <row r="86" spans="1:13" ht="31.5">
      <c r="A86" s="41"/>
      <c r="B86" s="236" t="s">
        <v>354</v>
      </c>
      <c r="C86" s="263">
        <v>0</v>
      </c>
      <c r="D86" s="238">
        <v>225</v>
      </c>
      <c r="E86" s="211">
        <v>60</v>
      </c>
      <c r="F86" s="211">
        <v>69.8</v>
      </c>
      <c r="G86" s="211">
        <v>40</v>
      </c>
      <c r="H86" s="211">
        <v>40</v>
      </c>
      <c r="I86" s="211">
        <v>25</v>
      </c>
      <c r="J86" s="211">
        <v>80</v>
      </c>
      <c r="K86" s="262"/>
      <c r="L86" s="263"/>
      <c r="M86" s="262"/>
    </row>
    <row r="87" spans="1:13" ht="15.75">
      <c r="A87" s="41"/>
      <c r="B87" s="236" t="s">
        <v>335</v>
      </c>
      <c r="C87" s="263">
        <v>0</v>
      </c>
      <c r="D87" s="238">
        <v>1600</v>
      </c>
      <c r="E87" s="211">
        <v>0</v>
      </c>
      <c r="F87" s="211">
        <v>0</v>
      </c>
      <c r="G87" s="211">
        <v>0</v>
      </c>
      <c r="H87" s="211">
        <v>0</v>
      </c>
      <c r="I87" s="211">
        <v>0</v>
      </c>
      <c r="J87" s="211">
        <v>0</v>
      </c>
      <c r="K87" s="262"/>
      <c r="L87" s="263"/>
      <c r="M87" s="262"/>
    </row>
    <row r="88" spans="1:13" ht="31.5">
      <c r="A88" s="41"/>
      <c r="B88" s="236" t="s">
        <v>355</v>
      </c>
      <c r="C88" s="263">
        <v>0</v>
      </c>
      <c r="D88" s="238">
        <v>14700</v>
      </c>
      <c r="E88" s="211">
        <v>230</v>
      </c>
      <c r="F88" s="211">
        <v>98.4</v>
      </c>
      <c r="G88" s="211">
        <v>170</v>
      </c>
      <c r="H88" s="211">
        <v>150</v>
      </c>
      <c r="I88" s="211">
        <v>65</v>
      </c>
      <c r="J88" s="211">
        <v>20</v>
      </c>
      <c r="K88" s="262"/>
      <c r="L88" s="263"/>
      <c r="M88" s="262"/>
    </row>
    <row r="89" spans="1:13" ht="31.5">
      <c r="A89" s="41"/>
      <c r="B89" s="236" t="s">
        <v>356</v>
      </c>
      <c r="C89" s="263">
        <v>0</v>
      </c>
      <c r="D89" s="238">
        <v>2500</v>
      </c>
      <c r="E89" s="211">
        <v>0</v>
      </c>
      <c r="F89" s="211">
        <v>0</v>
      </c>
      <c r="G89" s="211">
        <v>0</v>
      </c>
      <c r="H89" s="211">
        <v>0</v>
      </c>
      <c r="I89" s="211">
        <v>0</v>
      </c>
      <c r="J89" s="211">
        <v>0</v>
      </c>
      <c r="K89" s="262"/>
      <c r="L89" s="263"/>
      <c r="M89" s="262"/>
    </row>
    <row r="90" spans="1:13" ht="15.75" hidden="1">
      <c r="A90" s="41"/>
      <c r="B90" s="236" t="s">
        <v>337</v>
      </c>
      <c r="C90" s="263">
        <v>0</v>
      </c>
      <c r="D90" s="238">
        <v>0</v>
      </c>
      <c r="E90" s="211">
        <v>0</v>
      </c>
      <c r="F90" s="211">
        <v>0</v>
      </c>
      <c r="G90" s="211">
        <v>0</v>
      </c>
      <c r="H90" s="211">
        <v>0</v>
      </c>
      <c r="I90" s="211">
        <v>0</v>
      </c>
      <c r="J90" s="211">
        <v>0</v>
      </c>
      <c r="K90" s="262"/>
      <c r="L90" s="263"/>
      <c r="M90" s="262"/>
    </row>
    <row r="91" spans="1:13" ht="15.75">
      <c r="A91" s="41"/>
      <c r="B91" s="236" t="s">
        <v>338</v>
      </c>
      <c r="C91" s="263">
        <v>0</v>
      </c>
      <c r="D91" s="238">
        <v>100</v>
      </c>
      <c r="E91" s="211">
        <v>0</v>
      </c>
      <c r="F91" s="211">
        <v>0</v>
      </c>
      <c r="G91" s="211">
        <v>0</v>
      </c>
      <c r="H91" s="211">
        <v>0</v>
      </c>
      <c r="I91" s="211">
        <v>0</v>
      </c>
      <c r="J91" s="211">
        <v>0</v>
      </c>
      <c r="K91" s="262"/>
      <c r="L91" s="263"/>
      <c r="M91" s="262"/>
    </row>
    <row r="92" spans="1:13" ht="31.5">
      <c r="A92" s="41"/>
      <c r="B92" s="236" t="s">
        <v>339</v>
      </c>
      <c r="C92" s="263">
        <v>0</v>
      </c>
      <c r="D92" s="238">
        <v>5200</v>
      </c>
      <c r="E92" s="211">
        <v>370</v>
      </c>
      <c r="F92" s="211">
        <v>450</v>
      </c>
      <c r="G92" s="211">
        <v>207.6</v>
      </c>
      <c r="H92" s="211">
        <v>455.9</v>
      </c>
      <c r="I92" s="211">
        <v>350</v>
      </c>
      <c r="J92" s="211">
        <v>564</v>
      </c>
      <c r="K92" s="262"/>
      <c r="L92" s="263"/>
      <c r="M92" s="262"/>
    </row>
    <row r="93" spans="1:13" ht="31.5">
      <c r="A93" s="41"/>
      <c r="B93" s="236" t="s">
        <v>357</v>
      </c>
      <c r="C93" s="263">
        <v>0</v>
      </c>
      <c r="D93" s="238">
        <v>1350</v>
      </c>
      <c r="E93" s="211">
        <v>0</v>
      </c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62"/>
      <c r="L93" s="263"/>
      <c r="M93" s="262"/>
    </row>
    <row r="94" spans="1:13" ht="31.5" hidden="1">
      <c r="A94" s="41"/>
      <c r="B94" s="236" t="s">
        <v>341</v>
      </c>
      <c r="C94" s="263">
        <v>0</v>
      </c>
      <c r="D94" s="238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62"/>
      <c r="L94" s="263"/>
      <c r="M94" s="262"/>
    </row>
    <row r="95" spans="1:13" ht="15.75">
      <c r="A95" s="41"/>
      <c r="B95" s="236" t="s">
        <v>342</v>
      </c>
      <c r="C95" s="263">
        <v>0</v>
      </c>
      <c r="D95" s="238">
        <v>15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62"/>
      <c r="L95" s="263"/>
      <c r="M95" s="262"/>
    </row>
    <row r="96" spans="1:13" ht="15.75">
      <c r="A96" s="41"/>
      <c r="B96" s="236" t="s">
        <v>343</v>
      </c>
      <c r="C96" s="263">
        <v>0</v>
      </c>
      <c r="D96" s="238">
        <v>100</v>
      </c>
      <c r="E96" s="211">
        <v>0</v>
      </c>
      <c r="F96" s="211">
        <v>0</v>
      </c>
      <c r="G96" s="211">
        <v>0</v>
      </c>
      <c r="H96" s="211">
        <v>0</v>
      </c>
      <c r="I96" s="211">
        <v>0</v>
      </c>
      <c r="J96" s="211">
        <v>0</v>
      </c>
      <c r="K96" s="262"/>
      <c r="L96" s="263"/>
      <c r="M96" s="262"/>
    </row>
    <row r="97" spans="1:13" ht="31.5">
      <c r="A97" s="41"/>
      <c r="B97" s="236" t="s">
        <v>344</v>
      </c>
      <c r="C97" s="263">
        <v>0</v>
      </c>
      <c r="D97" s="238">
        <v>0</v>
      </c>
      <c r="E97" s="211">
        <v>25</v>
      </c>
      <c r="F97" s="211">
        <v>27</v>
      </c>
      <c r="G97" s="211">
        <v>20</v>
      </c>
      <c r="H97" s="211">
        <v>100</v>
      </c>
      <c r="I97" s="211">
        <v>40</v>
      </c>
      <c r="J97" s="211">
        <v>23</v>
      </c>
      <c r="K97" s="262"/>
      <c r="L97" s="263"/>
      <c r="M97" s="262"/>
    </row>
    <row r="98" spans="1:13" ht="15.75">
      <c r="A98" s="41"/>
      <c r="B98" s="236" t="s">
        <v>345</v>
      </c>
      <c r="C98" s="263">
        <v>0</v>
      </c>
      <c r="D98" s="238">
        <v>500</v>
      </c>
      <c r="E98" s="211">
        <v>72</v>
      </c>
      <c r="F98" s="211">
        <v>28</v>
      </c>
      <c r="G98" s="211">
        <v>20</v>
      </c>
      <c r="H98" s="211">
        <v>30</v>
      </c>
      <c r="I98" s="211">
        <v>22</v>
      </c>
      <c r="J98" s="211">
        <v>12.5</v>
      </c>
      <c r="K98" s="262"/>
      <c r="L98" s="263"/>
      <c r="M98" s="262"/>
    </row>
    <row r="99" spans="1:13" ht="47.25">
      <c r="A99" s="41"/>
      <c r="B99" s="236" t="s">
        <v>358</v>
      </c>
      <c r="C99" s="211">
        <v>0</v>
      </c>
      <c r="D99" s="239">
        <v>0</v>
      </c>
      <c r="E99" s="211">
        <v>25</v>
      </c>
      <c r="F99" s="211">
        <v>0</v>
      </c>
      <c r="G99" s="211">
        <v>30</v>
      </c>
      <c r="H99" s="211">
        <v>0</v>
      </c>
      <c r="I99" s="211">
        <v>10</v>
      </c>
      <c r="J99" s="211">
        <v>0</v>
      </c>
      <c r="K99" s="262"/>
      <c r="L99" s="211"/>
      <c r="M99" s="262"/>
    </row>
    <row r="100" spans="1:13" ht="15.75">
      <c r="A100" s="41"/>
      <c r="B100" s="236" t="s">
        <v>359</v>
      </c>
      <c r="C100" s="211">
        <v>0</v>
      </c>
      <c r="D100" s="239">
        <v>0</v>
      </c>
      <c r="E100" s="211">
        <v>300</v>
      </c>
      <c r="F100" s="211">
        <v>0</v>
      </c>
      <c r="G100" s="211">
        <v>636.4</v>
      </c>
      <c r="H100" s="211">
        <v>585.6</v>
      </c>
      <c r="I100" s="211">
        <v>0</v>
      </c>
      <c r="J100" s="211">
        <v>300</v>
      </c>
      <c r="K100" s="262"/>
      <c r="L100" s="211"/>
      <c r="M100" s="262"/>
    </row>
    <row r="101" spans="1:13" ht="15.75">
      <c r="A101" s="41"/>
      <c r="B101" s="236" t="s">
        <v>360</v>
      </c>
      <c r="C101" s="211">
        <v>0</v>
      </c>
      <c r="D101" s="239">
        <v>0</v>
      </c>
      <c r="E101" s="211">
        <v>50</v>
      </c>
      <c r="F101" s="211">
        <v>0</v>
      </c>
      <c r="G101" s="211">
        <v>0</v>
      </c>
      <c r="H101" s="211">
        <v>100</v>
      </c>
      <c r="I101" s="211">
        <v>100</v>
      </c>
      <c r="J101" s="211">
        <v>50</v>
      </c>
      <c r="K101" s="262"/>
      <c r="L101" s="211"/>
      <c r="M101" s="262"/>
    </row>
    <row r="102" spans="1:13" ht="15.75">
      <c r="A102" s="41"/>
      <c r="B102" s="236" t="s">
        <v>361</v>
      </c>
      <c r="C102" s="211">
        <v>0</v>
      </c>
      <c r="D102" s="239">
        <v>0</v>
      </c>
      <c r="E102" s="211">
        <v>0</v>
      </c>
      <c r="F102" s="211">
        <v>0</v>
      </c>
      <c r="G102" s="211">
        <v>5</v>
      </c>
      <c r="H102" s="211">
        <v>0</v>
      </c>
      <c r="I102" s="211">
        <v>0</v>
      </c>
      <c r="J102" s="211">
        <v>0</v>
      </c>
      <c r="K102" s="262"/>
      <c r="L102" s="211"/>
      <c r="M102" s="262"/>
    </row>
    <row r="103" spans="1:13" ht="15.75">
      <c r="A103" s="41"/>
      <c r="B103" s="236" t="s">
        <v>362</v>
      </c>
      <c r="C103" s="211">
        <v>0</v>
      </c>
      <c r="D103" s="239">
        <v>0</v>
      </c>
      <c r="E103" s="211">
        <v>0</v>
      </c>
      <c r="F103" s="211">
        <v>20</v>
      </c>
      <c r="G103" s="211">
        <v>89.5</v>
      </c>
      <c r="H103" s="211">
        <v>53.5</v>
      </c>
      <c r="I103" s="211">
        <v>10.6</v>
      </c>
      <c r="J103" s="211">
        <v>0</v>
      </c>
      <c r="K103" s="262"/>
      <c r="L103" s="211"/>
      <c r="M103" s="262"/>
    </row>
    <row r="104" spans="1:13" ht="15.75" hidden="1">
      <c r="A104" s="41" t="s">
        <v>111</v>
      </c>
      <c r="B104" s="39" t="s">
        <v>112</v>
      </c>
      <c r="C104" s="211"/>
      <c r="D104" s="211"/>
      <c r="E104" s="211"/>
      <c r="F104" s="211"/>
      <c r="G104" s="211"/>
      <c r="H104" s="211"/>
      <c r="I104" s="211"/>
      <c r="J104" s="211"/>
      <c r="K104" s="262">
        <f t="shared" si="13"/>
        <v>0</v>
      </c>
      <c r="L104" s="211"/>
      <c r="M104" s="262">
        <f t="shared" si="14"/>
        <v>0</v>
      </c>
    </row>
    <row r="105" spans="1:13" ht="31.5" hidden="1">
      <c r="A105" s="41" t="s">
        <v>113</v>
      </c>
      <c r="B105" s="39" t="s">
        <v>114</v>
      </c>
      <c r="C105" s="211"/>
      <c r="D105" s="211"/>
      <c r="E105" s="211"/>
      <c r="F105" s="211"/>
      <c r="G105" s="211"/>
      <c r="H105" s="211"/>
      <c r="I105" s="211"/>
      <c r="J105" s="211"/>
      <c r="K105" s="262">
        <f t="shared" si="13"/>
        <v>0</v>
      </c>
      <c r="L105" s="211"/>
      <c r="M105" s="262">
        <f t="shared" si="14"/>
        <v>0</v>
      </c>
    </row>
    <row r="106" spans="1:13" s="246" customFormat="1" ht="15.75">
      <c r="A106" s="256" t="s">
        <v>115</v>
      </c>
      <c r="B106" s="207" t="s">
        <v>217</v>
      </c>
      <c r="C106" s="208">
        <f>C111+C112+C117+C125+C129+C137</f>
        <v>506465.2</v>
      </c>
      <c r="D106" s="208">
        <f aca="true" t="shared" si="16" ref="D106:J106">D111+D112+D117+D125+D129+D137</f>
        <v>0</v>
      </c>
      <c r="E106" s="208">
        <f t="shared" si="16"/>
        <v>0</v>
      </c>
      <c r="F106" s="208">
        <f t="shared" si="16"/>
        <v>0</v>
      </c>
      <c r="G106" s="208">
        <f t="shared" si="16"/>
        <v>0</v>
      </c>
      <c r="H106" s="208">
        <f t="shared" si="16"/>
        <v>0</v>
      </c>
      <c r="I106" s="208">
        <f t="shared" si="16"/>
        <v>0</v>
      </c>
      <c r="J106" s="208">
        <f t="shared" si="16"/>
        <v>0</v>
      </c>
      <c r="K106" s="264">
        <f t="shared" si="13"/>
        <v>0</v>
      </c>
      <c r="L106" s="208">
        <f>L111+L112+L117+L125+L129+L137</f>
        <v>0</v>
      </c>
      <c r="M106" s="264">
        <f t="shared" si="14"/>
        <v>506465.2</v>
      </c>
    </row>
    <row r="107" spans="1:13" s="246" customFormat="1" ht="15.75" hidden="1">
      <c r="A107" s="240"/>
      <c r="B107" s="212" t="s">
        <v>116</v>
      </c>
      <c r="C107" s="213"/>
      <c r="D107" s="213"/>
      <c r="E107" s="213"/>
      <c r="F107" s="213"/>
      <c r="G107" s="213"/>
      <c r="H107" s="213"/>
      <c r="I107" s="213"/>
      <c r="J107" s="213"/>
      <c r="K107" s="260">
        <f t="shared" si="13"/>
        <v>0</v>
      </c>
      <c r="L107" s="213"/>
      <c r="M107" s="260">
        <f t="shared" si="14"/>
        <v>0</v>
      </c>
    </row>
    <row r="108" spans="1:13" s="246" customFormat="1" ht="15.75" hidden="1">
      <c r="A108" s="240"/>
      <c r="B108" s="212" t="s">
        <v>117</v>
      </c>
      <c r="C108" s="213"/>
      <c r="D108" s="213"/>
      <c r="E108" s="213"/>
      <c r="F108" s="213"/>
      <c r="G108" s="213"/>
      <c r="H108" s="213"/>
      <c r="I108" s="213"/>
      <c r="J108" s="213"/>
      <c r="K108" s="260">
        <f t="shared" si="13"/>
        <v>0</v>
      </c>
      <c r="L108" s="213"/>
      <c r="M108" s="260">
        <f t="shared" si="14"/>
        <v>0</v>
      </c>
    </row>
    <row r="109" spans="1:13" s="246" customFormat="1" ht="15.75" hidden="1">
      <c r="A109" s="240"/>
      <c r="B109" s="212" t="s">
        <v>118</v>
      </c>
      <c r="C109" s="213"/>
      <c r="D109" s="213"/>
      <c r="E109" s="213"/>
      <c r="F109" s="213"/>
      <c r="G109" s="213"/>
      <c r="H109" s="213"/>
      <c r="I109" s="213"/>
      <c r="J109" s="213"/>
      <c r="K109" s="260">
        <f t="shared" si="13"/>
        <v>0</v>
      </c>
      <c r="L109" s="213"/>
      <c r="M109" s="260">
        <f t="shared" si="14"/>
        <v>0</v>
      </c>
    </row>
    <row r="110" spans="1:13" s="246" customFormat="1" ht="15.75" hidden="1">
      <c r="A110" s="240"/>
      <c r="B110" s="212" t="s">
        <v>119</v>
      </c>
      <c r="C110" s="213"/>
      <c r="D110" s="213"/>
      <c r="E110" s="213"/>
      <c r="F110" s="213"/>
      <c r="G110" s="213"/>
      <c r="H110" s="213"/>
      <c r="I110" s="213"/>
      <c r="J110" s="213"/>
      <c r="K110" s="260">
        <f t="shared" si="13"/>
        <v>0</v>
      </c>
      <c r="L110" s="213"/>
      <c r="M110" s="260">
        <f t="shared" si="14"/>
        <v>0</v>
      </c>
    </row>
    <row r="111" spans="1:13" s="246" customFormat="1" ht="15.75">
      <c r="A111" s="240" t="s">
        <v>120</v>
      </c>
      <c r="B111" s="212" t="s">
        <v>9</v>
      </c>
      <c r="C111" s="213">
        <v>164625.5</v>
      </c>
      <c r="D111" s="213">
        <v>0</v>
      </c>
      <c r="E111" s="213">
        <v>0</v>
      </c>
      <c r="F111" s="213">
        <v>0</v>
      </c>
      <c r="G111" s="213">
        <v>0</v>
      </c>
      <c r="H111" s="213">
        <v>0</v>
      </c>
      <c r="I111" s="213">
        <v>0</v>
      </c>
      <c r="J111" s="213">
        <v>0</v>
      </c>
      <c r="K111" s="260">
        <f t="shared" si="13"/>
        <v>0</v>
      </c>
      <c r="L111" s="213"/>
      <c r="M111" s="260">
        <f t="shared" si="14"/>
        <v>164625.5</v>
      </c>
    </row>
    <row r="112" spans="1:13" s="246" customFormat="1" ht="15.75">
      <c r="A112" s="240" t="s">
        <v>121</v>
      </c>
      <c r="B112" s="212" t="s">
        <v>1</v>
      </c>
      <c r="C112" s="213">
        <f>C114</f>
        <v>283950.4</v>
      </c>
      <c r="D112" s="213">
        <f aca="true" t="shared" si="17" ref="D112:J112">D114</f>
        <v>0</v>
      </c>
      <c r="E112" s="213">
        <f t="shared" si="17"/>
        <v>0</v>
      </c>
      <c r="F112" s="213">
        <f t="shared" si="17"/>
        <v>0</v>
      </c>
      <c r="G112" s="213">
        <f t="shared" si="17"/>
        <v>0</v>
      </c>
      <c r="H112" s="213">
        <f t="shared" si="17"/>
        <v>0</v>
      </c>
      <c r="I112" s="213">
        <f t="shared" si="17"/>
        <v>0</v>
      </c>
      <c r="J112" s="213">
        <f t="shared" si="17"/>
        <v>0</v>
      </c>
      <c r="K112" s="260">
        <f t="shared" si="13"/>
        <v>0</v>
      </c>
      <c r="L112" s="213">
        <f>L114</f>
        <v>0</v>
      </c>
      <c r="M112" s="260">
        <f t="shared" si="14"/>
        <v>283950.4</v>
      </c>
    </row>
    <row r="113" spans="1:13" s="246" customFormat="1" ht="15.75" hidden="1">
      <c r="A113" s="240"/>
      <c r="B113" s="212" t="s">
        <v>122</v>
      </c>
      <c r="C113" s="213"/>
      <c r="D113" s="213"/>
      <c r="E113" s="213"/>
      <c r="F113" s="213"/>
      <c r="G113" s="213"/>
      <c r="H113" s="213"/>
      <c r="I113" s="213"/>
      <c r="J113" s="213"/>
      <c r="K113" s="260">
        <f t="shared" si="13"/>
        <v>0</v>
      </c>
      <c r="L113" s="213"/>
      <c r="M113" s="260">
        <f t="shared" si="14"/>
        <v>0</v>
      </c>
    </row>
    <row r="114" spans="1:13" s="246" customFormat="1" ht="15.75" hidden="1">
      <c r="A114" s="240" t="s">
        <v>121</v>
      </c>
      <c r="B114" s="212" t="s">
        <v>306</v>
      </c>
      <c r="C114" s="213">
        <f>283950.4</f>
        <v>283950.4</v>
      </c>
      <c r="D114" s="213">
        <v>0</v>
      </c>
      <c r="E114" s="213">
        <v>0</v>
      </c>
      <c r="F114" s="213">
        <v>0</v>
      </c>
      <c r="G114" s="213">
        <v>0</v>
      </c>
      <c r="H114" s="213">
        <v>0</v>
      </c>
      <c r="I114" s="213">
        <v>0</v>
      </c>
      <c r="J114" s="213">
        <v>0</v>
      </c>
      <c r="K114" s="260">
        <f t="shared" si="13"/>
        <v>0</v>
      </c>
      <c r="L114" s="213"/>
      <c r="M114" s="260">
        <f t="shared" si="14"/>
        <v>283950.4</v>
      </c>
    </row>
    <row r="115" spans="1:13" s="246" customFormat="1" ht="15.75" hidden="1">
      <c r="A115" s="240"/>
      <c r="B115" s="212" t="s">
        <v>188</v>
      </c>
      <c r="C115" s="213"/>
      <c r="D115" s="213"/>
      <c r="E115" s="213"/>
      <c r="F115" s="213"/>
      <c r="G115" s="213"/>
      <c r="H115" s="213"/>
      <c r="I115" s="213"/>
      <c r="J115" s="213"/>
      <c r="K115" s="260">
        <f t="shared" si="13"/>
        <v>0</v>
      </c>
      <c r="L115" s="213"/>
      <c r="M115" s="260">
        <f t="shared" si="14"/>
        <v>0</v>
      </c>
    </row>
    <row r="116" spans="1:13" s="246" customFormat="1" ht="15.75" hidden="1">
      <c r="A116" s="240"/>
      <c r="B116" s="212"/>
      <c r="C116" s="213"/>
      <c r="D116" s="213"/>
      <c r="E116" s="213"/>
      <c r="F116" s="213"/>
      <c r="G116" s="213"/>
      <c r="H116" s="213"/>
      <c r="I116" s="213"/>
      <c r="J116" s="213"/>
      <c r="K116" s="260">
        <f t="shared" si="13"/>
        <v>0</v>
      </c>
      <c r="L116" s="213"/>
      <c r="M116" s="260">
        <f t="shared" si="14"/>
        <v>0</v>
      </c>
    </row>
    <row r="117" spans="1:13" s="246" customFormat="1" ht="31.5">
      <c r="A117" s="240" t="s">
        <v>236</v>
      </c>
      <c r="B117" s="212" t="s">
        <v>263</v>
      </c>
      <c r="C117" s="213">
        <f>C118+C120+C121</f>
        <v>28382</v>
      </c>
      <c r="D117" s="213">
        <f aca="true" t="shared" si="18" ref="D117:J117">D118+D120+D121</f>
        <v>0</v>
      </c>
      <c r="E117" s="213">
        <f t="shared" si="18"/>
        <v>0</v>
      </c>
      <c r="F117" s="213">
        <f t="shared" si="18"/>
        <v>0</v>
      </c>
      <c r="G117" s="213">
        <f t="shared" si="18"/>
        <v>0</v>
      </c>
      <c r="H117" s="213">
        <f t="shared" si="18"/>
        <v>0</v>
      </c>
      <c r="I117" s="213">
        <f t="shared" si="18"/>
        <v>0</v>
      </c>
      <c r="J117" s="213">
        <f t="shared" si="18"/>
        <v>0</v>
      </c>
      <c r="K117" s="260">
        <f t="shared" si="13"/>
        <v>0</v>
      </c>
      <c r="L117" s="213">
        <f>L118+L120+L121</f>
        <v>0</v>
      </c>
      <c r="M117" s="260">
        <f t="shared" si="14"/>
        <v>28382</v>
      </c>
    </row>
    <row r="118" spans="1:13" ht="31.5">
      <c r="A118" s="41" t="s">
        <v>236</v>
      </c>
      <c r="B118" s="39" t="s">
        <v>307</v>
      </c>
      <c r="C118" s="211">
        <f>14970.4</f>
        <v>14970.4</v>
      </c>
      <c r="D118" s="211">
        <v>0</v>
      </c>
      <c r="E118" s="211">
        <v>0</v>
      </c>
      <c r="F118" s="211">
        <v>0</v>
      </c>
      <c r="G118" s="211">
        <v>0</v>
      </c>
      <c r="H118" s="211">
        <v>0</v>
      </c>
      <c r="I118" s="211">
        <v>0</v>
      </c>
      <c r="J118" s="211">
        <v>0</v>
      </c>
      <c r="K118" s="262">
        <f t="shared" si="13"/>
        <v>0</v>
      </c>
      <c r="L118" s="211"/>
      <c r="M118" s="262">
        <f t="shared" si="14"/>
        <v>14970.4</v>
      </c>
    </row>
    <row r="119" spans="1:13" ht="15.75" hidden="1">
      <c r="A119" s="41"/>
      <c r="B119" s="39" t="s">
        <v>188</v>
      </c>
      <c r="C119" s="211"/>
      <c r="D119" s="211"/>
      <c r="E119" s="211"/>
      <c r="F119" s="211"/>
      <c r="G119" s="211"/>
      <c r="H119" s="211"/>
      <c r="I119" s="211"/>
      <c r="J119" s="211"/>
      <c r="K119" s="262">
        <f t="shared" si="13"/>
        <v>0</v>
      </c>
      <c r="L119" s="211"/>
      <c r="M119" s="262">
        <f t="shared" si="14"/>
        <v>0</v>
      </c>
    </row>
    <row r="120" spans="1:13" ht="15.75">
      <c r="A120" s="41" t="s">
        <v>236</v>
      </c>
      <c r="B120" s="39" t="s">
        <v>123</v>
      </c>
      <c r="C120" s="211">
        <v>0</v>
      </c>
      <c r="D120" s="211">
        <v>0</v>
      </c>
      <c r="E120" s="211">
        <v>0</v>
      </c>
      <c r="F120" s="211">
        <v>0</v>
      </c>
      <c r="G120" s="211">
        <v>0</v>
      </c>
      <c r="H120" s="211">
        <v>0</v>
      </c>
      <c r="I120" s="211">
        <v>0</v>
      </c>
      <c r="J120" s="211">
        <v>0</v>
      </c>
      <c r="K120" s="262">
        <f t="shared" si="13"/>
        <v>0</v>
      </c>
      <c r="L120" s="211"/>
      <c r="M120" s="262">
        <f t="shared" si="14"/>
        <v>0</v>
      </c>
    </row>
    <row r="121" spans="1:13" ht="15.75">
      <c r="A121" s="41" t="s">
        <v>236</v>
      </c>
      <c r="B121" s="39" t="s">
        <v>308</v>
      </c>
      <c r="C121" s="211">
        <f>13411.6</f>
        <v>13411.6</v>
      </c>
      <c r="D121" s="211">
        <v>0</v>
      </c>
      <c r="E121" s="211">
        <v>0</v>
      </c>
      <c r="F121" s="211">
        <v>0</v>
      </c>
      <c r="G121" s="211">
        <v>0</v>
      </c>
      <c r="H121" s="211">
        <v>0</v>
      </c>
      <c r="I121" s="211">
        <v>0</v>
      </c>
      <c r="J121" s="211">
        <v>0</v>
      </c>
      <c r="K121" s="262">
        <f t="shared" si="13"/>
        <v>0</v>
      </c>
      <c r="L121" s="211"/>
      <c r="M121" s="262">
        <f t="shared" si="14"/>
        <v>13411.6</v>
      </c>
    </row>
    <row r="122" spans="1:13" ht="15.75" hidden="1">
      <c r="A122" s="41"/>
      <c r="B122" s="39" t="s">
        <v>188</v>
      </c>
      <c r="C122" s="211"/>
      <c r="D122" s="211"/>
      <c r="E122" s="211"/>
      <c r="F122" s="211"/>
      <c r="G122" s="211"/>
      <c r="H122" s="211"/>
      <c r="I122" s="211"/>
      <c r="J122" s="211"/>
      <c r="K122" s="262">
        <f t="shared" si="13"/>
        <v>0</v>
      </c>
      <c r="L122" s="211"/>
      <c r="M122" s="262">
        <f t="shared" si="14"/>
        <v>0</v>
      </c>
    </row>
    <row r="123" spans="1:13" ht="15.75" hidden="1">
      <c r="A123" s="41"/>
      <c r="B123" s="39"/>
      <c r="C123" s="211"/>
      <c r="D123" s="211"/>
      <c r="E123" s="211"/>
      <c r="F123" s="211"/>
      <c r="G123" s="211"/>
      <c r="H123" s="211"/>
      <c r="I123" s="211"/>
      <c r="J123" s="211"/>
      <c r="K123" s="262">
        <f t="shared" si="13"/>
        <v>0</v>
      </c>
      <c r="L123" s="211"/>
      <c r="M123" s="262">
        <f t="shared" si="14"/>
        <v>0</v>
      </c>
    </row>
    <row r="124" spans="1:13" ht="63" hidden="1">
      <c r="A124" s="41"/>
      <c r="B124" s="39" t="s">
        <v>124</v>
      </c>
      <c r="C124" s="211">
        <v>0</v>
      </c>
      <c r="D124" s="211">
        <v>0</v>
      </c>
      <c r="E124" s="211">
        <v>0</v>
      </c>
      <c r="F124" s="211">
        <v>0</v>
      </c>
      <c r="G124" s="211">
        <v>0</v>
      </c>
      <c r="H124" s="211">
        <v>0</v>
      </c>
      <c r="I124" s="211">
        <v>0</v>
      </c>
      <c r="J124" s="211">
        <v>0</v>
      </c>
      <c r="K124" s="262">
        <f t="shared" si="13"/>
        <v>0</v>
      </c>
      <c r="L124" s="211">
        <v>0</v>
      </c>
      <c r="M124" s="262">
        <f t="shared" si="14"/>
        <v>0</v>
      </c>
    </row>
    <row r="125" spans="1:13" ht="15.75" hidden="1">
      <c r="A125" s="41" t="s">
        <v>125</v>
      </c>
      <c r="B125" s="39" t="s">
        <v>126</v>
      </c>
      <c r="C125" s="211">
        <v>0</v>
      </c>
      <c r="D125" s="211">
        <v>0</v>
      </c>
      <c r="E125" s="211">
        <v>0</v>
      </c>
      <c r="F125" s="211">
        <v>0</v>
      </c>
      <c r="G125" s="211">
        <v>0</v>
      </c>
      <c r="H125" s="211">
        <v>0</v>
      </c>
      <c r="I125" s="211">
        <v>0</v>
      </c>
      <c r="J125" s="211">
        <v>0</v>
      </c>
      <c r="K125" s="262">
        <f t="shared" si="13"/>
        <v>0</v>
      </c>
      <c r="L125" s="211">
        <v>0</v>
      </c>
      <c r="M125" s="262">
        <f t="shared" si="14"/>
        <v>0</v>
      </c>
    </row>
    <row r="126" spans="1:13" ht="15.75" hidden="1">
      <c r="A126" s="41"/>
      <c r="B126" s="39" t="s">
        <v>122</v>
      </c>
      <c r="C126" s="211"/>
      <c r="D126" s="211"/>
      <c r="E126" s="211"/>
      <c r="F126" s="211"/>
      <c r="G126" s="211"/>
      <c r="H126" s="211"/>
      <c r="I126" s="211"/>
      <c r="J126" s="211"/>
      <c r="K126" s="262">
        <f t="shared" si="13"/>
        <v>0</v>
      </c>
      <c r="L126" s="211"/>
      <c r="M126" s="262">
        <f t="shared" si="14"/>
        <v>0</v>
      </c>
    </row>
    <row r="127" spans="1:13" ht="15.75" hidden="1">
      <c r="A127" s="41"/>
      <c r="B127" s="39" t="s">
        <v>127</v>
      </c>
      <c r="C127" s="211"/>
      <c r="D127" s="211"/>
      <c r="E127" s="211"/>
      <c r="F127" s="211"/>
      <c r="G127" s="211"/>
      <c r="H127" s="211"/>
      <c r="I127" s="211"/>
      <c r="J127" s="211"/>
      <c r="K127" s="262">
        <f t="shared" si="13"/>
        <v>0</v>
      </c>
      <c r="L127" s="211"/>
      <c r="M127" s="262">
        <f t="shared" si="14"/>
        <v>0</v>
      </c>
    </row>
    <row r="128" spans="1:13" ht="15.75" hidden="1">
      <c r="A128" s="41"/>
      <c r="B128" s="39" t="s">
        <v>128</v>
      </c>
      <c r="C128" s="211"/>
      <c r="D128" s="211"/>
      <c r="E128" s="211"/>
      <c r="F128" s="211"/>
      <c r="G128" s="211"/>
      <c r="H128" s="211"/>
      <c r="I128" s="211"/>
      <c r="J128" s="211"/>
      <c r="K128" s="262">
        <f t="shared" si="13"/>
        <v>0</v>
      </c>
      <c r="L128" s="211"/>
      <c r="M128" s="262">
        <f t="shared" si="14"/>
        <v>0</v>
      </c>
    </row>
    <row r="129" spans="1:13" s="246" customFormat="1" ht="31.5">
      <c r="A129" s="240" t="s">
        <v>129</v>
      </c>
      <c r="B129" s="212" t="s">
        <v>264</v>
      </c>
      <c r="C129" s="213">
        <f>SUM(C131:C136)</f>
        <v>4560.1</v>
      </c>
      <c r="D129" s="213">
        <f aca="true" t="shared" si="19" ref="D129:J129">SUM(D131:D136)</f>
        <v>0</v>
      </c>
      <c r="E129" s="213">
        <f t="shared" si="19"/>
        <v>0</v>
      </c>
      <c r="F129" s="213">
        <f t="shared" si="19"/>
        <v>0</v>
      </c>
      <c r="G129" s="213">
        <f t="shared" si="19"/>
        <v>0</v>
      </c>
      <c r="H129" s="213">
        <f t="shared" si="19"/>
        <v>0</v>
      </c>
      <c r="I129" s="213">
        <f t="shared" si="19"/>
        <v>0</v>
      </c>
      <c r="J129" s="213">
        <f t="shared" si="19"/>
        <v>0</v>
      </c>
      <c r="K129" s="260">
        <f t="shared" si="13"/>
        <v>0</v>
      </c>
      <c r="L129" s="213">
        <f>SUM(L131:L136)</f>
        <v>0</v>
      </c>
      <c r="M129" s="260">
        <f t="shared" si="14"/>
        <v>4560.1</v>
      </c>
    </row>
    <row r="130" spans="1:13" ht="15.75" hidden="1">
      <c r="A130" s="41"/>
      <c r="B130" s="39" t="s">
        <v>122</v>
      </c>
      <c r="C130" s="211"/>
      <c r="D130" s="211"/>
      <c r="E130" s="211"/>
      <c r="F130" s="211"/>
      <c r="G130" s="211"/>
      <c r="H130" s="211"/>
      <c r="I130" s="211"/>
      <c r="J130" s="211"/>
      <c r="K130" s="262">
        <f t="shared" si="13"/>
        <v>0</v>
      </c>
      <c r="L130" s="211"/>
      <c r="M130" s="262">
        <f t="shared" si="14"/>
        <v>0</v>
      </c>
    </row>
    <row r="131" spans="1:13" ht="31.5">
      <c r="A131" s="41"/>
      <c r="B131" s="220" t="s">
        <v>309</v>
      </c>
      <c r="C131" s="222">
        <f>2791.4</f>
        <v>2791.4</v>
      </c>
      <c r="D131" s="222">
        <v>0</v>
      </c>
      <c r="E131" s="222">
        <v>0</v>
      </c>
      <c r="F131" s="222">
        <v>0</v>
      </c>
      <c r="G131" s="222">
        <v>0</v>
      </c>
      <c r="H131" s="222">
        <v>0</v>
      </c>
      <c r="I131" s="222">
        <v>0</v>
      </c>
      <c r="J131" s="222">
        <v>0</v>
      </c>
      <c r="K131" s="262">
        <f t="shared" si="13"/>
        <v>0</v>
      </c>
      <c r="L131" s="222"/>
      <c r="M131" s="262">
        <f t="shared" si="14"/>
        <v>2791.4</v>
      </c>
    </row>
    <row r="132" spans="1:13" ht="31.5">
      <c r="A132" s="41"/>
      <c r="B132" s="39" t="s">
        <v>130</v>
      </c>
      <c r="C132" s="211">
        <v>348.1</v>
      </c>
      <c r="D132" s="211">
        <v>0</v>
      </c>
      <c r="E132" s="211">
        <v>0</v>
      </c>
      <c r="F132" s="211">
        <v>0</v>
      </c>
      <c r="G132" s="211">
        <v>0</v>
      </c>
      <c r="H132" s="211">
        <v>0</v>
      </c>
      <c r="I132" s="211">
        <v>0</v>
      </c>
      <c r="J132" s="211">
        <v>0</v>
      </c>
      <c r="K132" s="262">
        <f t="shared" si="13"/>
        <v>0</v>
      </c>
      <c r="L132" s="211"/>
      <c r="M132" s="262">
        <f t="shared" si="14"/>
        <v>348.1</v>
      </c>
    </row>
    <row r="133" spans="1:13" ht="31.5">
      <c r="A133" s="41"/>
      <c r="B133" s="220" t="s">
        <v>310</v>
      </c>
      <c r="C133" s="211">
        <v>18</v>
      </c>
      <c r="D133" s="211">
        <v>0</v>
      </c>
      <c r="E133" s="211">
        <v>0</v>
      </c>
      <c r="F133" s="211">
        <v>0</v>
      </c>
      <c r="G133" s="211">
        <v>0</v>
      </c>
      <c r="H133" s="211">
        <v>0</v>
      </c>
      <c r="I133" s="211">
        <v>0</v>
      </c>
      <c r="J133" s="211">
        <v>0</v>
      </c>
      <c r="K133" s="262">
        <f t="shared" si="13"/>
        <v>0</v>
      </c>
      <c r="L133" s="211"/>
      <c r="M133" s="262">
        <f t="shared" si="14"/>
        <v>18</v>
      </c>
    </row>
    <row r="134" spans="1:13" ht="47.25">
      <c r="A134" s="41"/>
      <c r="B134" s="220" t="s">
        <v>311</v>
      </c>
      <c r="C134" s="211">
        <v>1208.6</v>
      </c>
      <c r="D134" s="211">
        <v>0</v>
      </c>
      <c r="E134" s="211">
        <v>0</v>
      </c>
      <c r="F134" s="211">
        <v>0</v>
      </c>
      <c r="G134" s="211">
        <v>0</v>
      </c>
      <c r="H134" s="211">
        <v>0</v>
      </c>
      <c r="I134" s="211">
        <v>0</v>
      </c>
      <c r="J134" s="211">
        <v>0</v>
      </c>
      <c r="K134" s="262">
        <f t="shared" si="13"/>
        <v>0</v>
      </c>
      <c r="L134" s="211"/>
      <c r="M134" s="262">
        <f t="shared" si="14"/>
        <v>1208.6</v>
      </c>
    </row>
    <row r="135" spans="1:13" ht="63">
      <c r="A135" s="41"/>
      <c r="B135" s="220" t="s">
        <v>312</v>
      </c>
      <c r="C135" s="211">
        <f>114</f>
        <v>114</v>
      </c>
      <c r="D135" s="211">
        <v>0</v>
      </c>
      <c r="E135" s="211">
        <v>0</v>
      </c>
      <c r="F135" s="211">
        <v>0</v>
      </c>
      <c r="G135" s="211">
        <v>0</v>
      </c>
      <c r="H135" s="211">
        <v>0</v>
      </c>
      <c r="I135" s="211">
        <v>0</v>
      </c>
      <c r="J135" s="211">
        <v>0</v>
      </c>
      <c r="K135" s="262">
        <f t="shared" si="13"/>
        <v>0</v>
      </c>
      <c r="L135" s="211"/>
      <c r="M135" s="262">
        <f t="shared" si="14"/>
        <v>114</v>
      </c>
    </row>
    <row r="136" spans="1:13" ht="47.25">
      <c r="A136" s="41"/>
      <c r="B136" s="220" t="s">
        <v>313</v>
      </c>
      <c r="C136" s="211">
        <f>30+50</f>
        <v>80</v>
      </c>
      <c r="D136" s="211">
        <v>0</v>
      </c>
      <c r="E136" s="211">
        <v>0</v>
      </c>
      <c r="F136" s="211">
        <v>0</v>
      </c>
      <c r="G136" s="211">
        <v>0</v>
      </c>
      <c r="H136" s="211">
        <v>0</v>
      </c>
      <c r="I136" s="211">
        <v>0</v>
      </c>
      <c r="J136" s="211">
        <v>0</v>
      </c>
      <c r="K136" s="262">
        <f t="shared" si="13"/>
        <v>0</v>
      </c>
      <c r="L136" s="211"/>
      <c r="M136" s="262">
        <f t="shared" si="14"/>
        <v>80</v>
      </c>
    </row>
    <row r="137" spans="1:13" s="246" customFormat="1" ht="31.5">
      <c r="A137" s="240" t="s">
        <v>131</v>
      </c>
      <c r="B137" s="212" t="s">
        <v>314</v>
      </c>
      <c r="C137" s="213">
        <f>C139+C140+C141</f>
        <v>24947.2</v>
      </c>
      <c r="D137" s="213">
        <f aca="true" t="shared" si="20" ref="D137:J137">D139+D140+D141</f>
        <v>0</v>
      </c>
      <c r="E137" s="213">
        <f t="shared" si="20"/>
        <v>0</v>
      </c>
      <c r="F137" s="213">
        <f t="shared" si="20"/>
        <v>0</v>
      </c>
      <c r="G137" s="213">
        <f t="shared" si="20"/>
        <v>0</v>
      </c>
      <c r="H137" s="213">
        <f t="shared" si="20"/>
        <v>0</v>
      </c>
      <c r="I137" s="213">
        <f t="shared" si="20"/>
        <v>0</v>
      </c>
      <c r="J137" s="213">
        <f t="shared" si="20"/>
        <v>0</v>
      </c>
      <c r="K137" s="260">
        <f t="shared" si="13"/>
        <v>0</v>
      </c>
      <c r="L137" s="213">
        <f>L139+L140+L141</f>
        <v>0</v>
      </c>
      <c r="M137" s="260">
        <f t="shared" si="14"/>
        <v>24947.2</v>
      </c>
    </row>
    <row r="138" spans="1:13" ht="15.75">
      <c r="A138" s="41"/>
      <c r="B138" s="39" t="s">
        <v>122</v>
      </c>
      <c r="C138" s="211"/>
      <c r="D138" s="211"/>
      <c r="E138" s="211"/>
      <c r="F138" s="211"/>
      <c r="G138" s="211"/>
      <c r="H138" s="211"/>
      <c r="I138" s="211"/>
      <c r="J138" s="211"/>
      <c r="K138" s="262">
        <f t="shared" si="13"/>
        <v>0</v>
      </c>
      <c r="L138" s="211"/>
      <c r="M138" s="262">
        <f t="shared" si="14"/>
        <v>0</v>
      </c>
    </row>
    <row r="139" spans="1:13" ht="15.75">
      <c r="A139" s="41"/>
      <c r="B139" s="39" t="s">
        <v>132</v>
      </c>
      <c r="C139" s="222">
        <f>2670</f>
        <v>2670</v>
      </c>
      <c r="D139" s="222">
        <v>0</v>
      </c>
      <c r="E139" s="222">
        <v>0</v>
      </c>
      <c r="F139" s="222">
        <v>0</v>
      </c>
      <c r="G139" s="222">
        <v>0</v>
      </c>
      <c r="H139" s="222">
        <v>0</v>
      </c>
      <c r="I139" s="222">
        <v>0</v>
      </c>
      <c r="J139" s="222">
        <v>0</v>
      </c>
      <c r="K139" s="262">
        <f t="shared" si="13"/>
        <v>0</v>
      </c>
      <c r="L139" s="222"/>
      <c r="M139" s="262">
        <f t="shared" si="14"/>
        <v>2670</v>
      </c>
    </row>
    <row r="140" spans="1:13" ht="47.25">
      <c r="A140" s="41"/>
      <c r="B140" s="39" t="s">
        <v>133</v>
      </c>
      <c r="C140" s="211">
        <f>21023.9+603.3</f>
        <v>21627.2</v>
      </c>
      <c r="D140" s="211">
        <v>0</v>
      </c>
      <c r="E140" s="211">
        <v>0</v>
      </c>
      <c r="F140" s="211">
        <v>0</v>
      </c>
      <c r="G140" s="211">
        <v>0</v>
      </c>
      <c r="H140" s="211">
        <v>0</v>
      </c>
      <c r="I140" s="211">
        <v>0</v>
      </c>
      <c r="J140" s="211">
        <v>0</v>
      </c>
      <c r="K140" s="262">
        <f t="shared" si="13"/>
        <v>0</v>
      </c>
      <c r="L140" s="211"/>
      <c r="M140" s="262">
        <f t="shared" si="14"/>
        <v>21627.2</v>
      </c>
    </row>
    <row r="141" spans="1:13" ht="63">
      <c r="A141" s="41"/>
      <c r="B141" s="39" t="s">
        <v>265</v>
      </c>
      <c r="C141" s="211">
        <f>1253.3-603.3</f>
        <v>650</v>
      </c>
      <c r="D141" s="211">
        <v>0</v>
      </c>
      <c r="E141" s="211">
        <v>0</v>
      </c>
      <c r="F141" s="211">
        <v>0</v>
      </c>
      <c r="G141" s="211">
        <v>0</v>
      </c>
      <c r="H141" s="211">
        <v>0</v>
      </c>
      <c r="I141" s="211">
        <v>0</v>
      </c>
      <c r="J141" s="211">
        <v>0</v>
      </c>
      <c r="K141" s="262">
        <f t="shared" si="13"/>
        <v>0</v>
      </c>
      <c r="L141" s="211"/>
      <c r="M141" s="262">
        <f t="shared" si="14"/>
        <v>650</v>
      </c>
    </row>
    <row r="142" spans="1:13" ht="47.25" hidden="1">
      <c r="A142" s="41"/>
      <c r="B142" s="39" t="s">
        <v>134</v>
      </c>
      <c r="C142" s="211">
        <f>0</f>
        <v>0</v>
      </c>
      <c r="D142" s="211">
        <f>0</f>
        <v>0</v>
      </c>
      <c r="E142" s="211">
        <v>0</v>
      </c>
      <c r="F142" s="211">
        <f>0</f>
        <v>0</v>
      </c>
      <c r="G142" s="211">
        <f>0</f>
        <v>0</v>
      </c>
      <c r="H142" s="211">
        <f>0</f>
        <v>0</v>
      </c>
      <c r="I142" s="211">
        <f>0</f>
        <v>0</v>
      </c>
      <c r="J142" s="211">
        <f>0</f>
        <v>0</v>
      </c>
      <c r="K142" s="262">
        <f t="shared" si="13"/>
        <v>0</v>
      </c>
      <c r="L142" s="211">
        <f>0</f>
        <v>0</v>
      </c>
      <c r="M142" s="262">
        <f t="shared" si="14"/>
        <v>0</v>
      </c>
    </row>
    <row r="143" spans="1:13" s="246" customFormat="1" ht="15.75">
      <c r="A143" s="256" t="s">
        <v>135</v>
      </c>
      <c r="B143" s="207" t="s">
        <v>315</v>
      </c>
      <c r="C143" s="208">
        <f>C144+C150</f>
        <v>90445.70000000001</v>
      </c>
      <c r="D143" s="208">
        <f aca="true" t="shared" si="21" ref="D143:J143">D144+D150</f>
        <v>0</v>
      </c>
      <c r="E143" s="208">
        <f t="shared" si="21"/>
        <v>0</v>
      </c>
      <c r="F143" s="208">
        <f t="shared" si="21"/>
        <v>0</v>
      </c>
      <c r="G143" s="208">
        <f t="shared" si="21"/>
        <v>0</v>
      </c>
      <c r="H143" s="208">
        <f t="shared" si="21"/>
        <v>0</v>
      </c>
      <c r="I143" s="208">
        <f t="shared" si="21"/>
        <v>0</v>
      </c>
      <c r="J143" s="208">
        <f t="shared" si="21"/>
        <v>0</v>
      </c>
      <c r="K143" s="264">
        <f t="shared" si="13"/>
        <v>0</v>
      </c>
      <c r="L143" s="208">
        <f>L144+L150</f>
        <v>0</v>
      </c>
      <c r="M143" s="264">
        <f t="shared" si="14"/>
        <v>90445.70000000001</v>
      </c>
    </row>
    <row r="144" spans="1:13" s="246" customFormat="1" ht="15.75">
      <c r="A144" s="240" t="s">
        <v>136</v>
      </c>
      <c r="B144" s="212" t="s">
        <v>266</v>
      </c>
      <c r="C144" s="213">
        <f>C146</f>
        <v>70217.1</v>
      </c>
      <c r="D144" s="213">
        <f aca="true" t="shared" si="22" ref="D144:J144">D146</f>
        <v>0</v>
      </c>
      <c r="E144" s="213">
        <f t="shared" si="22"/>
        <v>0</v>
      </c>
      <c r="F144" s="213">
        <f t="shared" si="22"/>
        <v>0</v>
      </c>
      <c r="G144" s="213">
        <f t="shared" si="22"/>
        <v>0</v>
      </c>
      <c r="H144" s="213">
        <f t="shared" si="22"/>
        <v>0</v>
      </c>
      <c r="I144" s="213">
        <f t="shared" si="22"/>
        <v>0</v>
      </c>
      <c r="J144" s="213">
        <f t="shared" si="22"/>
        <v>0</v>
      </c>
      <c r="K144" s="260">
        <f t="shared" si="13"/>
        <v>0</v>
      </c>
      <c r="L144" s="213">
        <f>L146</f>
        <v>0</v>
      </c>
      <c r="M144" s="260">
        <f t="shared" si="14"/>
        <v>70217.1</v>
      </c>
    </row>
    <row r="145" spans="1:13" ht="15.75">
      <c r="A145" s="41"/>
      <c r="B145" s="39" t="s">
        <v>84</v>
      </c>
      <c r="C145" s="211"/>
      <c r="D145" s="211"/>
      <c r="E145" s="211"/>
      <c r="F145" s="211"/>
      <c r="G145" s="211"/>
      <c r="H145" s="211"/>
      <c r="I145" s="211"/>
      <c r="J145" s="211"/>
      <c r="K145" s="262">
        <f t="shared" si="13"/>
        <v>0</v>
      </c>
      <c r="L145" s="211"/>
      <c r="M145" s="262">
        <f t="shared" si="14"/>
        <v>0</v>
      </c>
    </row>
    <row r="146" spans="1:13" ht="31.5">
      <c r="A146" s="41"/>
      <c r="B146" s="41" t="s">
        <v>316</v>
      </c>
      <c r="C146" s="211">
        <v>70217.1</v>
      </c>
      <c r="D146" s="211">
        <v>0</v>
      </c>
      <c r="E146" s="211">
        <v>0</v>
      </c>
      <c r="F146" s="211">
        <v>0</v>
      </c>
      <c r="G146" s="211">
        <v>0</v>
      </c>
      <c r="H146" s="211">
        <v>0</v>
      </c>
      <c r="I146" s="211">
        <v>0</v>
      </c>
      <c r="J146" s="211">
        <v>0</v>
      </c>
      <c r="K146" s="262">
        <f t="shared" si="13"/>
        <v>0</v>
      </c>
      <c r="L146" s="211"/>
      <c r="M146" s="262">
        <f t="shared" si="14"/>
        <v>70217.1</v>
      </c>
    </row>
    <row r="147" spans="1:13" ht="15.75" hidden="1">
      <c r="A147" s="41"/>
      <c r="B147" s="39" t="s">
        <v>188</v>
      </c>
      <c r="C147" s="211"/>
      <c r="D147" s="211"/>
      <c r="E147" s="211"/>
      <c r="F147" s="211"/>
      <c r="G147" s="211"/>
      <c r="H147" s="211"/>
      <c r="I147" s="211"/>
      <c r="J147" s="211"/>
      <c r="K147" s="262">
        <f t="shared" si="13"/>
        <v>0</v>
      </c>
      <c r="L147" s="211"/>
      <c r="M147" s="262">
        <f t="shared" si="14"/>
        <v>0</v>
      </c>
    </row>
    <row r="148" spans="1:13" ht="15.75" hidden="1">
      <c r="A148" s="41"/>
      <c r="B148" s="41"/>
      <c r="C148" s="211">
        <v>0</v>
      </c>
      <c r="D148" s="211">
        <v>0</v>
      </c>
      <c r="E148" s="211">
        <v>0</v>
      </c>
      <c r="F148" s="211">
        <v>0</v>
      </c>
      <c r="G148" s="211">
        <v>0</v>
      </c>
      <c r="H148" s="211">
        <v>0</v>
      </c>
      <c r="I148" s="211">
        <v>0</v>
      </c>
      <c r="J148" s="211">
        <v>0</v>
      </c>
      <c r="K148" s="262">
        <f t="shared" si="13"/>
        <v>0</v>
      </c>
      <c r="L148" s="211">
        <v>0</v>
      </c>
      <c r="M148" s="262">
        <f t="shared" si="14"/>
        <v>0</v>
      </c>
    </row>
    <row r="149" spans="1:13" ht="15.75" hidden="1">
      <c r="A149" s="41"/>
      <c r="B149" s="41" t="s">
        <v>137</v>
      </c>
      <c r="C149" s="211"/>
      <c r="D149" s="211"/>
      <c r="E149" s="211"/>
      <c r="F149" s="211"/>
      <c r="G149" s="211"/>
      <c r="H149" s="211"/>
      <c r="I149" s="211"/>
      <c r="J149" s="211"/>
      <c r="K149" s="262">
        <f t="shared" si="13"/>
        <v>0</v>
      </c>
      <c r="L149" s="211"/>
      <c r="M149" s="262">
        <f t="shared" si="14"/>
        <v>0</v>
      </c>
    </row>
    <row r="150" spans="1:13" s="246" customFormat="1" ht="31.5">
      <c r="A150" s="240" t="s">
        <v>138</v>
      </c>
      <c r="B150" s="212" t="s">
        <v>317</v>
      </c>
      <c r="C150" s="213">
        <f>C152+C153+C154</f>
        <v>20228.6</v>
      </c>
      <c r="D150" s="213">
        <f aca="true" t="shared" si="23" ref="D150:J150">D152+D153+D154</f>
        <v>0</v>
      </c>
      <c r="E150" s="213">
        <f t="shared" si="23"/>
        <v>0</v>
      </c>
      <c r="F150" s="213">
        <f t="shared" si="23"/>
        <v>0</v>
      </c>
      <c r="G150" s="213">
        <f t="shared" si="23"/>
        <v>0</v>
      </c>
      <c r="H150" s="213">
        <f t="shared" si="23"/>
        <v>0</v>
      </c>
      <c r="I150" s="213">
        <f t="shared" si="23"/>
        <v>0</v>
      </c>
      <c r="J150" s="213">
        <f t="shared" si="23"/>
        <v>0</v>
      </c>
      <c r="K150" s="260">
        <f t="shared" si="13"/>
        <v>0</v>
      </c>
      <c r="L150" s="213">
        <f>L152+L153+L154</f>
        <v>0</v>
      </c>
      <c r="M150" s="260">
        <f t="shared" si="14"/>
        <v>20228.6</v>
      </c>
    </row>
    <row r="151" spans="1:13" ht="15.75" hidden="1">
      <c r="A151" s="41"/>
      <c r="B151" s="39" t="s">
        <v>122</v>
      </c>
      <c r="C151" s="211"/>
      <c r="D151" s="211"/>
      <c r="E151" s="211"/>
      <c r="F151" s="211"/>
      <c r="G151" s="211"/>
      <c r="H151" s="211"/>
      <c r="I151" s="211"/>
      <c r="J151" s="211"/>
      <c r="K151" s="262">
        <f t="shared" si="13"/>
        <v>0</v>
      </c>
      <c r="L151" s="211"/>
      <c r="M151" s="262">
        <f t="shared" si="14"/>
        <v>0</v>
      </c>
    </row>
    <row r="152" spans="1:13" ht="15.75">
      <c r="A152" s="41"/>
      <c r="B152" s="39" t="s">
        <v>139</v>
      </c>
      <c r="C152" s="211">
        <f>1050</f>
        <v>1050</v>
      </c>
      <c r="D152" s="211">
        <v>0</v>
      </c>
      <c r="E152" s="211">
        <v>0</v>
      </c>
      <c r="F152" s="211">
        <v>0</v>
      </c>
      <c r="G152" s="211">
        <v>0</v>
      </c>
      <c r="H152" s="211">
        <v>0</v>
      </c>
      <c r="I152" s="211">
        <v>0</v>
      </c>
      <c r="J152" s="211">
        <v>0</v>
      </c>
      <c r="K152" s="262">
        <f t="shared" si="13"/>
        <v>0</v>
      </c>
      <c r="L152" s="211"/>
      <c r="M152" s="262">
        <f t="shared" si="14"/>
        <v>1050</v>
      </c>
    </row>
    <row r="153" spans="1:13" ht="47.25">
      <c r="A153" s="41"/>
      <c r="B153" s="39" t="s">
        <v>133</v>
      </c>
      <c r="C153" s="211">
        <f>15161.3+3317.3</f>
        <v>18478.6</v>
      </c>
      <c r="D153" s="211">
        <v>0</v>
      </c>
      <c r="E153" s="211">
        <v>0</v>
      </c>
      <c r="F153" s="211">
        <v>0</v>
      </c>
      <c r="G153" s="211">
        <v>0</v>
      </c>
      <c r="H153" s="211">
        <v>0</v>
      </c>
      <c r="I153" s="211">
        <v>0</v>
      </c>
      <c r="J153" s="211">
        <v>0</v>
      </c>
      <c r="K153" s="262">
        <f t="shared" si="13"/>
        <v>0</v>
      </c>
      <c r="L153" s="211"/>
      <c r="M153" s="262">
        <f t="shared" si="14"/>
        <v>18478.6</v>
      </c>
    </row>
    <row r="154" spans="1:13" ht="50.25" customHeight="1">
      <c r="A154" s="41"/>
      <c r="B154" s="39" t="s">
        <v>318</v>
      </c>
      <c r="C154" s="211">
        <f>700</f>
        <v>700</v>
      </c>
      <c r="D154" s="211">
        <v>0</v>
      </c>
      <c r="E154" s="211">
        <v>0</v>
      </c>
      <c r="F154" s="211">
        <v>0</v>
      </c>
      <c r="G154" s="211">
        <v>0</v>
      </c>
      <c r="H154" s="211">
        <v>0</v>
      </c>
      <c r="I154" s="211">
        <v>0</v>
      </c>
      <c r="J154" s="211">
        <v>0</v>
      </c>
      <c r="K154" s="262">
        <f t="shared" si="13"/>
        <v>0</v>
      </c>
      <c r="L154" s="211"/>
      <c r="M154" s="262">
        <f t="shared" si="14"/>
        <v>700</v>
      </c>
    </row>
    <row r="155" spans="1:13" ht="15.75" hidden="1">
      <c r="A155" s="41" t="s">
        <v>140</v>
      </c>
      <c r="B155" s="39" t="s">
        <v>141</v>
      </c>
      <c r="C155" s="211">
        <v>0</v>
      </c>
      <c r="D155" s="211">
        <v>0</v>
      </c>
      <c r="E155" s="211">
        <v>0</v>
      </c>
      <c r="F155" s="211">
        <v>0</v>
      </c>
      <c r="G155" s="211">
        <v>0</v>
      </c>
      <c r="H155" s="211">
        <v>0</v>
      </c>
      <c r="I155" s="211">
        <v>0</v>
      </c>
      <c r="J155" s="211">
        <v>0</v>
      </c>
      <c r="K155" s="262">
        <f aca="true" t="shared" si="24" ref="K155:K198">SUM(D155:J155)</f>
        <v>0</v>
      </c>
      <c r="L155" s="211">
        <v>0</v>
      </c>
      <c r="M155" s="262">
        <f aca="true" t="shared" si="25" ref="M155:M198">K155+C155-L155</f>
        <v>0</v>
      </c>
    </row>
    <row r="156" spans="1:13" ht="15.75" hidden="1">
      <c r="A156" s="41" t="s">
        <v>142</v>
      </c>
      <c r="B156" s="39" t="s">
        <v>143</v>
      </c>
      <c r="C156" s="211"/>
      <c r="D156" s="211"/>
      <c r="E156" s="211"/>
      <c r="F156" s="211"/>
      <c r="G156" s="211"/>
      <c r="H156" s="211"/>
      <c r="I156" s="211"/>
      <c r="J156" s="211"/>
      <c r="K156" s="262">
        <f t="shared" si="24"/>
        <v>0</v>
      </c>
      <c r="L156" s="211"/>
      <c r="M156" s="262">
        <f t="shared" si="25"/>
        <v>0</v>
      </c>
    </row>
    <row r="157" spans="1:13" ht="31.5" hidden="1">
      <c r="A157" s="41" t="s">
        <v>144</v>
      </c>
      <c r="B157" s="39" t="s">
        <v>145</v>
      </c>
      <c r="C157" s="211"/>
      <c r="D157" s="211"/>
      <c r="E157" s="211"/>
      <c r="F157" s="211"/>
      <c r="G157" s="211"/>
      <c r="H157" s="211"/>
      <c r="I157" s="211"/>
      <c r="J157" s="211"/>
      <c r="K157" s="262">
        <f t="shared" si="24"/>
        <v>0</v>
      </c>
      <c r="L157" s="211"/>
      <c r="M157" s="262">
        <f t="shared" si="25"/>
        <v>0</v>
      </c>
    </row>
    <row r="158" spans="1:13" ht="31.5" hidden="1">
      <c r="A158" s="41" t="s">
        <v>146</v>
      </c>
      <c r="B158" s="39" t="s">
        <v>147</v>
      </c>
      <c r="C158" s="211"/>
      <c r="D158" s="211"/>
      <c r="E158" s="211"/>
      <c r="F158" s="211"/>
      <c r="G158" s="211"/>
      <c r="H158" s="211"/>
      <c r="I158" s="211"/>
      <c r="J158" s="211"/>
      <c r="K158" s="262">
        <f t="shared" si="24"/>
        <v>0</v>
      </c>
      <c r="L158" s="211"/>
      <c r="M158" s="262">
        <f t="shared" si="25"/>
        <v>0</v>
      </c>
    </row>
    <row r="159" spans="1:13" ht="63" hidden="1">
      <c r="A159" s="41" t="s">
        <v>148</v>
      </c>
      <c r="B159" s="39" t="s">
        <v>149</v>
      </c>
      <c r="C159" s="211" t="s">
        <v>150</v>
      </c>
      <c r="D159" s="211" t="s">
        <v>150</v>
      </c>
      <c r="E159" s="211" t="s">
        <v>150</v>
      </c>
      <c r="F159" s="211" t="s">
        <v>150</v>
      </c>
      <c r="G159" s="211" t="s">
        <v>150</v>
      </c>
      <c r="H159" s="211" t="s">
        <v>150</v>
      </c>
      <c r="I159" s="211" t="s">
        <v>150</v>
      </c>
      <c r="J159" s="211" t="s">
        <v>150</v>
      </c>
      <c r="K159" s="262">
        <f t="shared" si="24"/>
        <v>0</v>
      </c>
      <c r="L159" s="211" t="s">
        <v>150</v>
      </c>
      <c r="M159" s="262" t="e">
        <f t="shared" si="25"/>
        <v>#VALUE!</v>
      </c>
    </row>
    <row r="160" spans="1:13" ht="15.75" hidden="1">
      <c r="A160" s="41"/>
      <c r="B160" s="39" t="s">
        <v>122</v>
      </c>
      <c r="C160" s="211"/>
      <c r="D160" s="211"/>
      <c r="E160" s="211"/>
      <c r="F160" s="211"/>
      <c r="G160" s="211"/>
      <c r="H160" s="211"/>
      <c r="I160" s="211"/>
      <c r="J160" s="211"/>
      <c r="K160" s="262">
        <f t="shared" si="24"/>
        <v>0</v>
      </c>
      <c r="L160" s="211"/>
      <c r="M160" s="262">
        <f t="shared" si="25"/>
        <v>0</v>
      </c>
    </row>
    <row r="161" spans="1:13" ht="15.75" hidden="1">
      <c r="A161" s="41"/>
      <c r="B161" s="39" t="s">
        <v>132</v>
      </c>
      <c r="C161" s="211"/>
      <c r="D161" s="211"/>
      <c r="E161" s="211"/>
      <c r="F161" s="211"/>
      <c r="G161" s="211"/>
      <c r="H161" s="211"/>
      <c r="I161" s="211"/>
      <c r="J161" s="211"/>
      <c r="K161" s="262">
        <f t="shared" si="24"/>
        <v>0</v>
      </c>
      <c r="L161" s="211"/>
      <c r="M161" s="262">
        <f t="shared" si="25"/>
        <v>0</v>
      </c>
    </row>
    <row r="162" spans="1:13" ht="15.75" hidden="1">
      <c r="A162" s="41"/>
      <c r="B162" s="39" t="s">
        <v>91</v>
      </c>
      <c r="C162" s="211"/>
      <c r="D162" s="211"/>
      <c r="E162" s="211"/>
      <c r="F162" s="211"/>
      <c r="G162" s="211"/>
      <c r="H162" s="211"/>
      <c r="I162" s="211"/>
      <c r="J162" s="211"/>
      <c r="K162" s="262">
        <f t="shared" si="24"/>
        <v>0</v>
      </c>
      <c r="L162" s="211"/>
      <c r="M162" s="262">
        <f t="shared" si="25"/>
        <v>0</v>
      </c>
    </row>
    <row r="163" spans="1:13" s="246" customFormat="1" ht="15.75">
      <c r="A163" s="256" t="s">
        <v>151</v>
      </c>
      <c r="B163" s="207" t="s">
        <v>152</v>
      </c>
      <c r="C163" s="208">
        <f>C164+C165+C171</f>
        <v>23239</v>
      </c>
      <c r="D163" s="208">
        <f aca="true" t="shared" si="26" ref="D163:J163">D164+D165+D171</f>
        <v>405</v>
      </c>
      <c r="E163" s="208">
        <f t="shared" si="26"/>
        <v>36</v>
      </c>
      <c r="F163" s="208">
        <f t="shared" si="26"/>
        <v>0</v>
      </c>
      <c r="G163" s="208">
        <f t="shared" si="26"/>
        <v>18</v>
      </c>
      <c r="H163" s="208">
        <f t="shared" si="26"/>
        <v>66</v>
      </c>
      <c r="I163" s="208">
        <f t="shared" si="26"/>
        <v>0</v>
      </c>
      <c r="J163" s="208">
        <f t="shared" si="26"/>
        <v>110.4</v>
      </c>
      <c r="K163" s="264">
        <f t="shared" si="24"/>
        <v>635.4</v>
      </c>
      <c r="L163" s="208">
        <f>L164+L165+L171</f>
        <v>0</v>
      </c>
      <c r="M163" s="264">
        <f t="shared" si="25"/>
        <v>23874.4</v>
      </c>
    </row>
    <row r="164" spans="1:13" s="246" customFormat="1" ht="31.5">
      <c r="A164" s="240" t="s">
        <v>153</v>
      </c>
      <c r="B164" s="212" t="s">
        <v>267</v>
      </c>
      <c r="C164" s="213">
        <v>1686</v>
      </c>
      <c r="D164" s="213">
        <v>353.7</v>
      </c>
      <c r="E164" s="213">
        <v>36</v>
      </c>
      <c r="F164" s="213">
        <v>0</v>
      </c>
      <c r="G164" s="213">
        <v>18</v>
      </c>
      <c r="H164" s="213">
        <v>66</v>
      </c>
      <c r="I164" s="213">
        <v>0</v>
      </c>
      <c r="J164" s="213">
        <v>110.4</v>
      </c>
      <c r="K164" s="260">
        <f t="shared" si="24"/>
        <v>584.1</v>
      </c>
      <c r="L164" s="213"/>
      <c r="M164" s="260">
        <f t="shared" si="25"/>
        <v>2270.1</v>
      </c>
    </row>
    <row r="165" spans="1:13" s="246" customFormat="1" ht="31.5">
      <c r="A165" s="240" t="s">
        <v>154</v>
      </c>
      <c r="B165" s="212" t="s">
        <v>319</v>
      </c>
      <c r="C165" s="213">
        <f>C166+C167+C168+C169+C170</f>
        <v>15081.3</v>
      </c>
      <c r="D165" s="213">
        <f aca="true" t="shared" si="27" ref="D165:J165">D166+D167+D168+D169+D170</f>
        <v>51.3</v>
      </c>
      <c r="E165" s="213">
        <f t="shared" si="27"/>
        <v>0</v>
      </c>
      <c r="F165" s="213">
        <f t="shared" si="27"/>
        <v>0</v>
      </c>
      <c r="G165" s="213">
        <f t="shared" si="27"/>
        <v>0</v>
      </c>
      <c r="H165" s="213">
        <f t="shared" si="27"/>
        <v>0</v>
      </c>
      <c r="I165" s="213">
        <f t="shared" si="27"/>
        <v>0</v>
      </c>
      <c r="J165" s="213">
        <f t="shared" si="27"/>
        <v>0</v>
      </c>
      <c r="K165" s="260">
        <f t="shared" si="24"/>
        <v>51.3</v>
      </c>
      <c r="L165" s="213">
        <f>L166+L167+L168+L169+L170</f>
        <v>0</v>
      </c>
      <c r="M165" s="260">
        <f t="shared" si="25"/>
        <v>15132.599999999999</v>
      </c>
    </row>
    <row r="166" spans="1:13" ht="31.5">
      <c r="A166" s="41"/>
      <c r="B166" s="39" t="s">
        <v>320</v>
      </c>
      <c r="C166" s="211">
        <v>14727.3</v>
      </c>
      <c r="D166" s="211">
        <v>0</v>
      </c>
      <c r="E166" s="211">
        <v>0</v>
      </c>
      <c r="F166" s="211">
        <v>0</v>
      </c>
      <c r="G166" s="211">
        <v>0</v>
      </c>
      <c r="H166" s="211">
        <v>0</v>
      </c>
      <c r="I166" s="211">
        <v>0</v>
      </c>
      <c r="J166" s="211">
        <v>0</v>
      </c>
      <c r="K166" s="262">
        <f t="shared" si="24"/>
        <v>0</v>
      </c>
      <c r="L166" s="211"/>
      <c r="M166" s="262">
        <f t="shared" si="25"/>
        <v>14727.3</v>
      </c>
    </row>
    <row r="167" spans="1:13" ht="78.75">
      <c r="A167" s="41"/>
      <c r="B167" s="39" t="s">
        <v>321</v>
      </c>
      <c r="C167" s="211">
        <v>185</v>
      </c>
      <c r="D167" s="211">
        <v>0</v>
      </c>
      <c r="E167" s="211">
        <v>0</v>
      </c>
      <c r="F167" s="211">
        <v>0</v>
      </c>
      <c r="G167" s="211">
        <v>0</v>
      </c>
      <c r="H167" s="211">
        <v>0</v>
      </c>
      <c r="I167" s="211">
        <v>0</v>
      </c>
      <c r="J167" s="211">
        <v>0</v>
      </c>
      <c r="K167" s="262">
        <f t="shared" si="24"/>
        <v>0</v>
      </c>
      <c r="L167" s="211"/>
      <c r="M167" s="262">
        <f t="shared" si="25"/>
        <v>185</v>
      </c>
    </row>
    <row r="168" spans="1:13" ht="15.75">
      <c r="A168" s="41"/>
      <c r="B168" s="223" t="s">
        <v>322</v>
      </c>
      <c r="C168" s="211">
        <v>154</v>
      </c>
      <c r="D168" s="211">
        <v>51.3</v>
      </c>
      <c r="E168" s="211">
        <v>0</v>
      </c>
      <c r="F168" s="211">
        <v>0</v>
      </c>
      <c r="G168" s="211">
        <v>0</v>
      </c>
      <c r="H168" s="211">
        <v>0</v>
      </c>
      <c r="I168" s="211">
        <v>0</v>
      </c>
      <c r="J168" s="211">
        <v>0</v>
      </c>
      <c r="K168" s="262">
        <f t="shared" si="24"/>
        <v>51.3</v>
      </c>
      <c r="L168" s="211"/>
      <c r="M168" s="262">
        <f t="shared" si="25"/>
        <v>205.3</v>
      </c>
    </row>
    <row r="169" spans="1:13" ht="15.75" hidden="1">
      <c r="A169" s="41"/>
      <c r="B169" s="39" t="s">
        <v>155</v>
      </c>
      <c r="C169" s="211">
        <v>0</v>
      </c>
      <c r="D169" s="211">
        <v>0</v>
      </c>
      <c r="E169" s="211">
        <v>0</v>
      </c>
      <c r="F169" s="211">
        <v>0</v>
      </c>
      <c r="G169" s="211">
        <v>0</v>
      </c>
      <c r="H169" s="211">
        <v>0</v>
      </c>
      <c r="I169" s="211">
        <v>0</v>
      </c>
      <c r="J169" s="211">
        <v>0</v>
      </c>
      <c r="K169" s="262">
        <f t="shared" si="24"/>
        <v>0</v>
      </c>
      <c r="L169" s="211"/>
      <c r="M169" s="262">
        <f t="shared" si="25"/>
        <v>0</v>
      </c>
    </row>
    <row r="170" spans="1:13" ht="78.75">
      <c r="A170" s="41"/>
      <c r="B170" s="39" t="s">
        <v>268</v>
      </c>
      <c r="C170" s="211">
        <v>15</v>
      </c>
      <c r="D170" s="211">
        <v>0</v>
      </c>
      <c r="E170" s="211">
        <v>0</v>
      </c>
      <c r="F170" s="211">
        <v>0</v>
      </c>
      <c r="G170" s="211">
        <v>0</v>
      </c>
      <c r="H170" s="211">
        <v>0</v>
      </c>
      <c r="I170" s="211">
        <v>0</v>
      </c>
      <c r="J170" s="211">
        <v>0</v>
      </c>
      <c r="K170" s="262">
        <f t="shared" si="24"/>
        <v>0</v>
      </c>
      <c r="L170" s="211"/>
      <c r="M170" s="262">
        <f t="shared" si="25"/>
        <v>15</v>
      </c>
    </row>
    <row r="171" spans="1:13" s="246" customFormat="1" ht="15.75">
      <c r="A171" s="240" t="s">
        <v>156</v>
      </c>
      <c r="B171" s="212" t="s">
        <v>11</v>
      </c>
      <c r="C171" s="213">
        <f>6411.9+59.8</f>
        <v>6471.7</v>
      </c>
      <c r="D171" s="213">
        <v>0</v>
      </c>
      <c r="E171" s="213">
        <v>0</v>
      </c>
      <c r="F171" s="213">
        <v>0</v>
      </c>
      <c r="G171" s="213">
        <v>0</v>
      </c>
      <c r="H171" s="213">
        <v>0</v>
      </c>
      <c r="I171" s="213">
        <v>0</v>
      </c>
      <c r="J171" s="213">
        <v>0</v>
      </c>
      <c r="K171" s="260">
        <f t="shared" si="24"/>
        <v>0</v>
      </c>
      <c r="L171" s="213"/>
      <c r="M171" s="260">
        <f t="shared" si="25"/>
        <v>6471.7</v>
      </c>
    </row>
    <row r="172" spans="1:13" s="246" customFormat="1" ht="15.75">
      <c r="A172" s="256" t="s">
        <v>157</v>
      </c>
      <c r="B172" s="207" t="s">
        <v>158</v>
      </c>
      <c r="C172" s="208">
        <f>C173+C177</f>
        <v>750</v>
      </c>
      <c r="D172" s="208">
        <f aca="true" t="shared" si="28" ref="D172:J172">D173+D177</f>
        <v>33349.9</v>
      </c>
      <c r="E172" s="208">
        <f t="shared" si="28"/>
        <v>0</v>
      </c>
      <c r="F172" s="208">
        <f t="shared" si="28"/>
        <v>0</v>
      </c>
      <c r="G172" s="208">
        <f t="shared" si="28"/>
        <v>0</v>
      </c>
      <c r="H172" s="208">
        <f t="shared" si="28"/>
        <v>0</v>
      </c>
      <c r="I172" s="208">
        <f t="shared" si="28"/>
        <v>0</v>
      </c>
      <c r="J172" s="208">
        <f t="shared" si="28"/>
        <v>0</v>
      </c>
      <c r="K172" s="264">
        <f t="shared" si="24"/>
        <v>33349.9</v>
      </c>
      <c r="L172" s="208">
        <f>L173+L177</f>
        <v>0</v>
      </c>
      <c r="M172" s="264">
        <f t="shared" si="25"/>
        <v>34099.9</v>
      </c>
    </row>
    <row r="173" spans="1:13" s="246" customFormat="1" ht="63">
      <c r="A173" s="240" t="s">
        <v>159</v>
      </c>
      <c r="B173" s="212" t="s">
        <v>347</v>
      </c>
      <c r="C173" s="213">
        <f>C174+C175+C176</f>
        <v>0</v>
      </c>
      <c r="D173" s="213">
        <f>D174+D175+D176</f>
        <v>33349.9</v>
      </c>
      <c r="E173" s="213">
        <f aca="true" t="shared" si="29" ref="E173:J173">E174+E175+E176</f>
        <v>0</v>
      </c>
      <c r="F173" s="213">
        <f t="shared" si="29"/>
        <v>0</v>
      </c>
      <c r="G173" s="213">
        <v>0</v>
      </c>
      <c r="H173" s="213">
        <f t="shared" si="29"/>
        <v>0</v>
      </c>
      <c r="I173" s="213">
        <f t="shared" si="29"/>
        <v>0</v>
      </c>
      <c r="J173" s="213">
        <f t="shared" si="29"/>
        <v>0</v>
      </c>
      <c r="K173" s="260">
        <f t="shared" si="24"/>
        <v>33349.9</v>
      </c>
      <c r="L173" s="213">
        <f>L174+L175+L176</f>
        <v>0</v>
      </c>
      <c r="M173" s="260">
        <f t="shared" si="25"/>
        <v>33349.9</v>
      </c>
    </row>
    <row r="174" spans="1:13" ht="31.5">
      <c r="A174" s="41"/>
      <c r="B174" s="39" t="s">
        <v>346</v>
      </c>
      <c r="C174" s="211"/>
      <c r="D174" s="211">
        <v>33349.9</v>
      </c>
      <c r="E174" s="211"/>
      <c r="F174" s="211"/>
      <c r="G174" s="211"/>
      <c r="H174" s="211"/>
      <c r="I174" s="211"/>
      <c r="J174" s="211"/>
      <c r="K174" s="262">
        <f t="shared" si="24"/>
        <v>33349.9</v>
      </c>
      <c r="L174" s="211"/>
      <c r="M174" s="262">
        <f t="shared" si="25"/>
        <v>33349.9</v>
      </c>
    </row>
    <row r="175" spans="1:13" ht="15.75" hidden="1">
      <c r="A175" s="41"/>
      <c r="B175" s="39"/>
      <c r="C175" s="211"/>
      <c r="D175" s="211"/>
      <c r="E175" s="211"/>
      <c r="F175" s="211"/>
      <c r="G175" s="211"/>
      <c r="H175" s="211"/>
      <c r="I175" s="211"/>
      <c r="J175" s="211"/>
      <c r="K175" s="262">
        <f t="shared" si="24"/>
        <v>0</v>
      </c>
      <c r="L175" s="211"/>
      <c r="M175" s="262">
        <f t="shared" si="25"/>
        <v>0</v>
      </c>
    </row>
    <row r="176" spans="1:13" ht="78.75" hidden="1">
      <c r="A176" s="41"/>
      <c r="B176" s="39" t="s">
        <v>162</v>
      </c>
      <c r="C176" s="211">
        <v>0</v>
      </c>
      <c r="D176" s="211">
        <v>0</v>
      </c>
      <c r="E176" s="211">
        <v>0</v>
      </c>
      <c r="F176" s="211">
        <v>0</v>
      </c>
      <c r="G176" s="211">
        <v>0</v>
      </c>
      <c r="H176" s="211">
        <v>0</v>
      </c>
      <c r="I176" s="211">
        <v>0</v>
      </c>
      <c r="J176" s="211">
        <v>0</v>
      </c>
      <c r="K176" s="262">
        <f t="shared" si="24"/>
        <v>0</v>
      </c>
      <c r="L176" s="211">
        <v>0</v>
      </c>
      <c r="M176" s="262">
        <f t="shared" si="25"/>
        <v>0</v>
      </c>
    </row>
    <row r="177" spans="1:13" s="246" customFormat="1" ht="31.5">
      <c r="A177" s="240" t="s">
        <v>163</v>
      </c>
      <c r="B177" s="212" t="s">
        <v>164</v>
      </c>
      <c r="C177" s="213">
        <f>C178+C179</f>
        <v>750</v>
      </c>
      <c r="D177" s="213">
        <f aca="true" t="shared" si="30" ref="D177:J177">D178+D179</f>
        <v>0</v>
      </c>
      <c r="E177" s="213">
        <f t="shared" si="30"/>
        <v>0</v>
      </c>
      <c r="F177" s="213">
        <f t="shared" si="30"/>
        <v>0</v>
      </c>
      <c r="G177" s="213">
        <f t="shared" si="30"/>
        <v>0</v>
      </c>
      <c r="H177" s="213">
        <f t="shared" si="30"/>
        <v>0</v>
      </c>
      <c r="I177" s="213">
        <f t="shared" si="30"/>
        <v>0</v>
      </c>
      <c r="J177" s="213">
        <f t="shared" si="30"/>
        <v>0</v>
      </c>
      <c r="K177" s="260">
        <f t="shared" si="24"/>
        <v>0</v>
      </c>
      <c r="L177" s="213">
        <f>L178+L179</f>
        <v>0</v>
      </c>
      <c r="M177" s="260">
        <f t="shared" si="25"/>
        <v>750</v>
      </c>
    </row>
    <row r="178" spans="1:13" ht="15.75">
      <c r="A178" s="41"/>
      <c r="B178" s="39" t="s">
        <v>132</v>
      </c>
      <c r="C178" s="211">
        <v>750</v>
      </c>
      <c r="D178" s="211">
        <v>0</v>
      </c>
      <c r="E178" s="211">
        <v>0</v>
      </c>
      <c r="F178" s="211">
        <v>0</v>
      </c>
      <c r="G178" s="211">
        <v>0</v>
      </c>
      <c r="H178" s="211">
        <v>0</v>
      </c>
      <c r="I178" s="211">
        <v>0</v>
      </c>
      <c r="J178" s="211">
        <v>0</v>
      </c>
      <c r="K178" s="262">
        <f t="shared" si="24"/>
        <v>0</v>
      </c>
      <c r="L178" s="211"/>
      <c r="M178" s="262">
        <f t="shared" si="25"/>
        <v>750</v>
      </c>
    </row>
    <row r="179" spans="1:13" ht="15.75">
      <c r="A179" s="41"/>
      <c r="B179" s="39" t="s">
        <v>91</v>
      </c>
      <c r="C179" s="211">
        <v>0</v>
      </c>
      <c r="D179" s="211">
        <v>0</v>
      </c>
      <c r="E179" s="211">
        <v>0</v>
      </c>
      <c r="F179" s="211">
        <v>0</v>
      </c>
      <c r="G179" s="211">
        <v>0</v>
      </c>
      <c r="H179" s="211">
        <v>0</v>
      </c>
      <c r="I179" s="211">
        <v>0</v>
      </c>
      <c r="J179" s="211">
        <v>0</v>
      </c>
      <c r="K179" s="262">
        <f t="shared" si="24"/>
        <v>0</v>
      </c>
      <c r="L179" s="211">
        <v>0</v>
      </c>
      <c r="M179" s="262">
        <f t="shared" si="25"/>
        <v>0</v>
      </c>
    </row>
    <row r="180" spans="1:13" s="246" customFormat="1" ht="15.75">
      <c r="A180" s="256" t="s">
        <v>165</v>
      </c>
      <c r="B180" s="207" t="s">
        <v>166</v>
      </c>
      <c r="C180" s="208">
        <f>C181</f>
        <v>670</v>
      </c>
      <c r="D180" s="208">
        <f aca="true" t="shared" si="31" ref="D180:J180">D181</f>
        <v>90</v>
      </c>
      <c r="E180" s="208">
        <f t="shared" si="31"/>
        <v>0</v>
      </c>
      <c r="F180" s="208">
        <f t="shared" si="31"/>
        <v>0</v>
      </c>
      <c r="G180" s="208">
        <f t="shared" si="31"/>
        <v>0</v>
      </c>
      <c r="H180" s="208">
        <f t="shared" si="31"/>
        <v>0</v>
      </c>
      <c r="I180" s="208">
        <f t="shared" si="31"/>
        <v>0</v>
      </c>
      <c r="J180" s="208">
        <f t="shared" si="31"/>
        <v>0</v>
      </c>
      <c r="K180" s="264">
        <f t="shared" si="24"/>
        <v>90</v>
      </c>
      <c r="L180" s="208">
        <f>L181</f>
        <v>0</v>
      </c>
      <c r="M180" s="264">
        <f t="shared" si="25"/>
        <v>760</v>
      </c>
    </row>
    <row r="181" spans="1:13" s="246" customFormat="1" ht="15.75">
      <c r="A181" s="240" t="s">
        <v>167</v>
      </c>
      <c r="B181" s="212" t="s">
        <v>8</v>
      </c>
      <c r="C181" s="213">
        <v>670</v>
      </c>
      <c r="D181" s="213">
        <v>90</v>
      </c>
      <c r="E181" s="213">
        <v>0</v>
      </c>
      <c r="F181" s="213">
        <v>0</v>
      </c>
      <c r="G181" s="213">
        <v>0</v>
      </c>
      <c r="H181" s="213">
        <v>0</v>
      </c>
      <c r="I181" s="213">
        <v>0</v>
      </c>
      <c r="J181" s="213">
        <v>0</v>
      </c>
      <c r="K181" s="260">
        <f t="shared" si="24"/>
        <v>90</v>
      </c>
      <c r="L181" s="213"/>
      <c r="M181" s="260">
        <f t="shared" si="25"/>
        <v>760</v>
      </c>
    </row>
    <row r="182" spans="1:13" s="246" customFormat="1" ht="31.5">
      <c r="A182" s="256" t="s">
        <v>168</v>
      </c>
      <c r="B182" s="207" t="s">
        <v>169</v>
      </c>
      <c r="C182" s="208">
        <f>C183</f>
        <v>5</v>
      </c>
      <c r="D182" s="208">
        <f aca="true" t="shared" si="32" ref="D182:J182">D183</f>
        <v>0</v>
      </c>
      <c r="E182" s="208">
        <f t="shared" si="32"/>
        <v>0</v>
      </c>
      <c r="F182" s="208">
        <f t="shared" si="32"/>
        <v>0</v>
      </c>
      <c r="G182" s="208">
        <f t="shared" si="32"/>
        <v>0</v>
      </c>
      <c r="H182" s="208">
        <f t="shared" si="32"/>
        <v>0</v>
      </c>
      <c r="I182" s="208">
        <f t="shared" si="32"/>
        <v>0</v>
      </c>
      <c r="J182" s="208">
        <f t="shared" si="32"/>
        <v>0</v>
      </c>
      <c r="K182" s="264">
        <f t="shared" si="24"/>
        <v>0</v>
      </c>
      <c r="L182" s="208">
        <f>L183</f>
        <v>0</v>
      </c>
      <c r="M182" s="264">
        <f t="shared" si="25"/>
        <v>5</v>
      </c>
    </row>
    <row r="183" spans="1:13" s="246" customFormat="1" ht="15.75">
      <c r="A183" s="240" t="s">
        <v>170</v>
      </c>
      <c r="B183" s="212" t="s">
        <v>7</v>
      </c>
      <c r="C183" s="213">
        <v>5</v>
      </c>
      <c r="D183" s="213">
        <v>0</v>
      </c>
      <c r="E183" s="213">
        <v>0</v>
      </c>
      <c r="F183" s="213">
        <v>0</v>
      </c>
      <c r="G183" s="213">
        <v>0</v>
      </c>
      <c r="H183" s="213">
        <v>0</v>
      </c>
      <c r="I183" s="213">
        <v>0</v>
      </c>
      <c r="J183" s="213">
        <v>0</v>
      </c>
      <c r="K183" s="260">
        <f t="shared" si="24"/>
        <v>0</v>
      </c>
      <c r="L183" s="213"/>
      <c r="M183" s="260">
        <f t="shared" si="25"/>
        <v>5</v>
      </c>
    </row>
    <row r="184" spans="1:13" s="246" customFormat="1" ht="63">
      <c r="A184" s="256" t="s">
        <v>171</v>
      </c>
      <c r="B184" s="207" t="s">
        <v>269</v>
      </c>
      <c r="C184" s="208">
        <f>C186+C187+C188</f>
        <v>2575.5</v>
      </c>
      <c r="D184" s="208">
        <f aca="true" t="shared" si="33" ref="D184:J184">D186+D187+D188</f>
        <v>0</v>
      </c>
      <c r="E184" s="208">
        <f t="shared" si="33"/>
        <v>0</v>
      </c>
      <c r="F184" s="208">
        <f t="shared" si="33"/>
        <v>0</v>
      </c>
      <c r="G184" s="208">
        <f t="shared" si="33"/>
        <v>0</v>
      </c>
      <c r="H184" s="208">
        <f t="shared" si="33"/>
        <v>0</v>
      </c>
      <c r="I184" s="208">
        <f t="shared" si="33"/>
        <v>0</v>
      </c>
      <c r="J184" s="208">
        <f t="shared" si="33"/>
        <v>0</v>
      </c>
      <c r="K184" s="264">
        <f t="shared" si="24"/>
        <v>0</v>
      </c>
      <c r="L184" s="208">
        <f>L186+L187+L188</f>
        <v>2575.5</v>
      </c>
      <c r="M184" s="264">
        <f t="shared" si="25"/>
        <v>0</v>
      </c>
    </row>
    <row r="185" spans="1:13" s="246" customFormat="1" ht="31.5">
      <c r="A185" s="240" t="s">
        <v>172</v>
      </c>
      <c r="B185" s="212" t="s">
        <v>173</v>
      </c>
      <c r="C185" s="213">
        <f>C186+C187</f>
        <v>2575.5</v>
      </c>
      <c r="D185" s="213">
        <f aca="true" t="shared" si="34" ref="D185:J185">D186+D187</f>
        <v>0</v>
      </c>
      <c r="E185" s="213">
        <f t="shared" si="34"/>
        <v>0</v>
      </c>
      <c r="F185" s="213">
        <f t="shared" si="34"/>
        <v>0</v>
      </c>
      <c r="G185" s="213">
        <f t="shared" si="34"/>
        <v>0</v>
      </c>
      <c r="H185" s="213">
        <f t="shared" si="34"/>
        <v>0</v>
      </c>
      <c r="I185" s="213">
        <f t="shared" si="34"/>
        <v>0</v>
      </c>
      <c r="J185" s="213">
        <f t="shared" si="34"/>
        <v>0</v>
      </c>
      <c r="K185" s="260">
        <f t="shared" si="24"/>
        <v>0</v>
      </c>
      <c r="L185" s="213">
        <f>L186+L187</f>
        <v>2575.5</v>
      </c>
      <c r="M185" s="260">
        <f t="shared" si="25"/>
        <v>0</v>
      </c>
    </row>
    <row r="186" spans="1:13" ht="47.25" hidden="1">
      <c r="A186" s="41"/>
      <c r="B186" s="39" t="s">
        <v>174</v>
      </c>
      <c r="C186" s="211">
        <f>0</f>
        <v>0</v>
      </c>
      <c r="D186" s="211">
        <f>0</f>
        <v>0</v>
      </c>
      <c r="E186" s="211">
        <f>0</f>
        <v>0</v>
      </c>
      <c r="F186" s="211">
        <f>0</f>
        <v>0</v>
      </c>
      <c r="G186" s="211">
        <f>0</f>
        <v>0</v>
      </c>
      <c r="H186" s="211">
        <f>0</f>
        <v>0</v>
      </c>
      <c r="I186" s="211">
        <f>0</f>
        <v>0</v>
      </c>
      <c r="J186" s="211">
        <f>0</f>
        <v>0</v>
      </c>
      <c r="K186" s="262">
        <f t="shared" si="24"/>
        <v>0</v>
      </c>
      <c r="L186" s="211">
        <f>0</f>
        <v>0</v>
      </c>
      <c r="M186" s="262">
        <f t="shared" si="25"/>
        <v>0</v>
      </c>
    </row>
    <row r="187" spans="1:13" ht="47.25">
      <c r="A187" s="41"/>
      <c r="B187" s="39" t="s">
        <v>175</v>
      </c>
      <c r="C187" s="209">
        <f>2575.5</f>
        <v>2575.5</v>
      </c>
      <c r="D187" s="209">
        <v>0</v>
      </c>
      <c r="E187" s="209">
        <v>0</v>
      </c>
      <c r="F187" s="209">
        <v>0</v>
      </c>
      <c r="G187" s="209">
        <v>0</v>
      </c>
      <c r="H187" s="209">
        <v>0</v>
      </c>
      <c r="I187" s="209">
        <v>0</v>
      </c>
      <c r="J187" s="209">
        <v>0</v>
      </c>
      <c r="K187" s="262">
        <f t="shared" si="24"/>
        <v>0</v>
      </c>
      <c r="L187" s="209">
        <f>C187</f>
        <v>2575.5</v>
      </c>
      <c r="M187" s="262">
        <f t="shared" si="25"/>
        <v>0</v>
      </c>
    </row>
    <row r="188" spans="1:13" s="246" customFormat="1" ht="15.75" hidden="1">
      <c r="A188" s="240" t="s">
        <v>176</v>
      </c>
      <c r="B188" s="212" t="s">
        <v>6</v>
      </c>
      <c r="C188" s="213">
        <f>0</f>
        <v>0</v>
      </c>
      <c r="D188" s="213">
        <f>0</f>
        <v>0</v>
      </c>
      <c r="E188" s="213">
        <f>0</f>
        <v>0</v>
      </c>
      <c r="F188" s="213">
        <f>0</f>
        <v>0</v>
      </c>
      <c r="G188" s="213">
        <f>0</f>
        <v>0</v>
      </c>
      <c r="H188" s="213">
        <f>0</f>
        <v>0</v>
      </c>
      <c r="I188" s="213">
        <f>0</f>
        <v>0</v>
      </c>
      <c r="J188" s="213">
        <f>0</f>
        <v>0</v>
      </c>
      <c r="K188" s="260">
        <f t="shared" si="24"/>
        <v>0</v>
      </c>
      <c r="L188" s="213">
        <f>0</f>
        <v>0</v>
      </c>
      <c r="M188" s="260">
        <f t="shared" si="25"/>
        <v>0</v>
      </c>
    </row>
    <row r="189" spans="1:13" s="246" customFormat="1" ht="15.75">
      <c r="A189" s="256"/>
      <c r="B189" s="207" t="s">
        <v>323</v>
      </c>
      <c r="C189" s="208">
        <f>C6+C34+C36+C46+C69+C104+C106+C143+C155+C163+C172+C180+C182+C184</f>
        <v>714199.3999999999</v>
      </c>
      <c r="D189" s="208">
        <f>D6+D34+D36+D46+D69+D104+D106+D143+D155+D163+D172+D180+D182+D184</f>
        <v>77634</v>
      </c>
      <c r="E189" s="208">
        <f>E6+E34+E36+E46+E69+E104+E106+E143+E155+E163+E172+E180+E182+E184</f>
        <v>5127</v>
      </c>
      <c r="F189" s="208">
        <f>F6+F34+F36+F46+F69+F104+F106+F143+F155+F163+F172+F180+F182+F184</f>
        <v>4120.7</v>
      </c>
      <c r="G189" s="208">
        <f>G6+G34+G36+G46+G69+G104+G106+G143+G155+G163+G172+G180+G182+G184</f>
        <v>3702.2999999999997</v>
      </c>
      <c r="H189" s="208">
        <f>H6+H34+H36+H46+H69+H104+H106+H143+H155+H163+H172+H180+H182+H184</f>
        <v>5431.5</v>
      </c>
      <c r="I189" s="208">
        <f>I6+I34+I36+I46+I69+I104+I106+I143+I155+I163+I172+I180+I182+I184</f>
        <v>3674.7999999999997</v>
      </c>
      <c r="J189" s="208">
        <f>J6+J34+J36+J46+J69+J104+J106+J143+J155+J163+J172+J180+J182+J184</f>
        <v>4490.999999999999</v>
      </c>
      <c r="K189" s="264">
        <f t="shared" si="24"/>
        <v>104181.3</v>
      </c>
      <c r="L189" s="208">
        <f>L6+L34+L36+L46+L69+L104+L106+L143+L155+L163+L172+L180+L182+L184</f>
        <v>2766.5</v>
      </c>
      <c r="M189" s="264">
        <f t="shared" si="25"/>
        <v>815614.2</v>
      </c>
    </row>
    <row r="190" spans="1:13" ht="15.75">
      <c r="A190" s="41"/>
      <c r="B190" s="39" t="s">
        <v>177</v>
      </c>
      <c r="C190" s="209">
        <f>2575.5</f>
        <v>2575.5</v>
      </c>
      <c r="D190" s="209">
        <f>D15</f>
        <v>0</v>
      </c>
      <c r="E190" s="209">
        <f>E15</f>
        <v>35</v>
      </c>
      <c r="F190" s="209">
        <f>F15</f>
        <v>35</v>
      </c>
      <c r="G190" s="209">
        <f>G15</f>
        <v>25</v>
      </c>
      <c r="H190" s="209">
        <f>H15</f>
        <v>38</v>
      </c>
      <c r="I190" s="209">
        <f>I15</f>
        <v>28</v>
      </c>
      <c r="J190" s="209">
        <f>J15</f>
        <v>30</v>
      </c>
      <c r="K190" s="262">
        <f t="shared" si="24"/>
        <v>191</v>
      </c>
      <c r="L190" s="209">
        <f>SUM(C190:J190)</f>
        <v>2766.5</v>
      </c>
      <c r="M190" s="262">
        <f t="shared" si="25"/>
        <v>0</v>
      </c>
    </row>
    <row r="191" spans="1:13" ht="31.5">
      <c r="A191" s="41"/>
      <c r="B191" s="39" t="s">
        <v>178</v>
      </c>
      <c r="C191" s="211">
        <f>C189-C190</f>
        <v>711623.8999999999</v>
      </c>
      <c r="D191" s="211">
        <f aca="true" t="shared" si="35" ref="D191:J191">D189-D190</f>
        <v>77634</v>
      </c>
      <c r="E191" s="211">
        <f t="shared" si="35"/>
        <v>5092</v>
      </c>
      <c r="F191" s="211">
        <f t="shared" si="35"/>
        <v>4085.7</v>
      </c>
      <c r="G191" s="211">
        <f t="shared" si="35"/>
        <v>3677.2999999999997</v>
      </c>
      <c r="H191" s="211">
        <f t="shared" si="35"/>
        <v>5393.5</v>
      </c>
      <c r="I191" s="211">
        <f t="shared" si="35"/>
        <v>3646.7999999999997</v>
      </c>
      <c r="J191" s="211">
        <f t="shared" si="35"/>
        <v>4460.999999999999</v>
      </c>
      <c r="K191" s="262">
        <f t="shared" si="24"/>
        <v>103990.3</v>
      </c>
      <c r="L191" s="211">
        <f>L189-L190</f>
        <v>0</v>
      </c>
      <c r="M191" s="262">
        <f t="shared" si="25"/>
        <v>815614.2</v>
      </c>
    </row>
    <row r="192" spans="1:13" s="246" customFormat="1" ht="31.5">
      <c r="A192" s="256"/>
      <c r="B192" s="207" t="s">
        <v>179</v>
      </c>
      <c r="C192" s="208">
        <v>9600</v>
      </c>
      <c r="D192" s="208">
        <v>0</v>
      </c>
      <c r="E192" s="208">
        <v>0</v>
      </c>
      <c r="F192" s="208">
        <v>0</v>
      </c>
      <c r="G192" s="208">
        <v>0</v>
      </c>
      <c r="H192" s="208">
        <v>0</v>
      </c>
      <c r="I192" s="208">
        <v>0</v>
      </c>
      <c r="J192" s="208">
        <v>0</v>
      </c>
      <c r="K192" s="264">
        <f t="shared" si="24"/>
        <v>0</v>
      </c>
      <c r="L192" s="208">
        <v>9600</v>
      </c>
      <c r="M192" s="264">
        <f t="shared" si="25"/>
        <v>0</v>
      </c>
    </row>
    <row r="193" spans="1:13" s="246" customFormat="1" ht="47.25">
      <c r="A193" s="256"/>
      <c r="B193" s="207" t="s">
        <v>180</v>
      </c>
      <c r="C193" s="208">
        <f>C194+C195+C196+C197+C198</f>
        <v>-9600</v>
      </c>
      <c r="D193" s="208">
        <f aca="true" t="shared" si="36" ref="D193:J193">D194+D195+D196+D197+D198</f>
        <v>0</v>
      </c>
      <c r="E193" s="208">
        <f t="shared" si="36"/>
        <v>0</v>
      </c>
      <c r="F193" s="208">
        <f t="shared" si="36"/>
        <v>0</v>
      </c>
      <c r="G193" s="208">
        <f t="shared" si="36"/>
        <v>0</v>
      </c>
      <c r="H193" s="208">
        <f t="shared" si="36"/>
        <v>0</v>
      </c>
      <c r="I193" s="208">
        <f t="shared" si="36"/>
        <v>0</v>
      </c>
      <c r="J193" s="208">
        <f t="shared" si="36"/>
        <v>0</v>
      </c>
      <c r="K193" s="264">
        <f t="shared" si="24"/>
        <v>0</v>
      </c>
      <c r="L193" s="208">
        <f>L194+L195+L196+L197+L198</f>
        <v>0</v>
      </c>
      <c r="M193" s="264">
        <f t="shared" si="25"/>
        <v>-9600</v>
      </c>
    </row>
    <row r="194" spans="1:13" ht="31.5">
      <c r="A194" s="39" t="s">
        <v>3</v>
      </c>
      <c r="B194" s="39" t="s">
        <v>181</v>
      </c>
      <c r="C194" s="211">
        <f>0</f>
        <v>0</v>
      </c>
      <c r="D194" s="211">
        <f>0</f>
        <v>0</v>
      </c>
      <c r="E194" s="211">
        <f>0</f>
        <v>0</v>
      </c>
      <c r="F194" s="211">
        <f>0</f>
        <v>0</v>
      </c>
      <c r="G194" s="211">
        <f>0</f>
        <v>0</v>
      </c>
      <c r="H194" s="211">
        <f>0</f>
        <v>0</v>
      </c>
      <c r="I194" s="211">
        <f>0</f>
        <v>0</v>
      </c>
      <c r="J194" s="211">
        <f>0</f>
        <v>0</v>
      </c>
      <c r="K194" s="262">
        <f t="shared" si="24"/>
        <v>0</v>
      </c>
      <c r="L194" s="211">
        <f>0</f>
        <v>0</v>
      </c>
      <c r="M194" s="262">
        <f t="shared" si="25"/>
        <v>0</v>
      </c>
    </row>
    <row r="195" spans="1:13" ht="31.5">
      <c r="A195" s="41" t="s">
        <v>0</v>
      </c>
      <c r="B195" s="41" t="s">
        <v>182</v>
      </c>
      <c r="C195" s="211">
        <v>0</v>
      </c>
      <c r="D195" s="211">
        <v>0</v>
      </c>
      <c r="E195" s="211">
        <v>0</v>
      </c>
      <c r="F195" s="211">
        <v>0</v>
      </c>
      <c r="G195" s="211">
        <v>0</v>
      </c>
      <c r="H195" s="211">
        <v>0</v>
      </c>
      <c r="I195" s="211">
        <v>0</v>
      </c>
      <c r="J195" s="211">
        <v>0</v>
      </c>
      <c r="K195" s="262">
        <f t="shared" si="24"/>
        <v>0</v>
      </c>
      <c r="L195" s="211">
        <v>0</v>
      </c>
      <c r="M195" s="262">
        <f t="shared" si="25"/>
        <v>0</v>
      </c>
    </row>
    <row r="196" spans="1:13" ht="63">
      <c r="A196" s="259" t="s">
        <v>5</v>
      </c>
      <c r="B196" s="41" t="s">
        <v>10</v>
      </c>
      <c r="C196" s="211">
        <v>0</v>
      </c>
      <c r="D196" s="211">
        <v>0</v>
      </c>
      <c r="E196" s="211">
        <v>0</v>
      </c>
      <c r="F196" s="211">
        <v>0</v>
      </c>
      <c r="G196" s="211">
        <v>0</v>
      </c>
      <c r="H196" s="211">
        <v>0</v>
      </c>
      <c r="I196" s="211">
        <v>0</v>
      </c>
      <c r="J196" s="211">
        <v>0</v>
      </c>
      <c r="K196" s="262">
        <f t="shared" si="24"/>
        <v>0</v>
      </c>
      <c r="L196" s="211">
        <v>0</v>
      </c>
      <c r="M196" s="262">
        <f t="shared" si="25"/>
        <v>0</v>
      </c>
    </row>
    <row r="197" spans="1:13" ht="63">
      <c r="A197" s="259" t="s">
        <v>183</v>
      </c>
      <c r="B197" s="41" t="s">
        <v>4</v>
      </c>
      <c r="C197" s="211">
        <v>-9600</v>
      </c>
      <c r="D197" s="211">
        <v>0</v>
      </c>
      <c r="E197" s="211">
        <v>0</v>
      </c>
      <c r="F197" s="211">
        <v>0</v>
      </c>
      <c r="G197" s="211">
        <v>0</v>
      </c>
      <c r="H197" s="211">
        <v>0</v>
      </c>
      <c r="I197" s="211">
        <v>0</v>
      </c>
      <c r="J197" s="211">
        <v>0</v>
      </c>
      <c r="K197" s="262">
        <f t="shared" si="24"/>
        <v>0</v>
      </c>
      <c r="L197" s="211">
        <v>0</v>
      </c>
      <c r="M197" s="262">
        <f t="shared" si="25"/>
        <v>-9600</v>
      </c>
    </row>
    <row r="198" spans="1:13" ht="15.75">
      <c r="A198" s="41"/>
      <c r="B198" s="40" t="s">
        <v>184</v>
      </c>
      <c r="C198" s="211">
        <v>0</v>
      </c>
      <c r="D198" s="211">
        <v>0</v>
      </c>
      <c r="E198" s="211">
        <v>0</v>
      </c>
      <c r="F198" s="211">
        <v>0</v>
      </c>
      <c r="G198" s="211">
        <v>0</v>
      </c>
      <c r="H198" s="211">
        <v>0</v>
      </c>
      <c r="I198" s="211">
        <v>0</v>
      </c>
      <c r="J198" s="211">
        <v>0</v>
      </c>
      <c r="K198" s="262">
        <f t="shared" si="24"/>
        <v>0</v>
      </c>
      <c r="L198" s="211">
        <v>0</v>
      </c>
      <c r="M198" s="262">
        <f t="shared" si="25"/>
        <v>0</v>
      </c>
    </row>
    <row r="199" spans="1:3" ht="15.75">
      <c r="A199" s="252"/>
      <c r="B199" s="252"/>
      <c r="C199" s="253"/>
    </row>
    <row r="200" spans="1:3" ht="15.75">
      <c r="A200" s="252"/>
      <c r="B200" s="252"/>
      <c r="C200" s="253"/>
    </row>
    <row r="201" spans="1:3" ht="15.75">
      <c r="A201" s="252"/>
      <c r="B201" s="252"/>
      <c r="C201" s="253"/>
    </row>
  </sheetData>
  <sheetProtection/>
  <mergeCells count="2">
    <mergeCell ref="A31:A32"/>
    <mergeCell ref="A3:M3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M206"/>
  <sheetViews>
    <sheetView zoomScalePageLayoutView="0" workbookViewId="0" topLeftCell="C1">
      <selection activeCell="K193" sqref="K193:M194"/>
    </sheetView>
  </sheetViews>
  <sheetFormatPr defaultColWidth="9.140625" defaultRowHeight="12.75"/>
  <cols>
    <col min="1" max="1" width="16.140625" style="228" customWidth="1"/>
    <col min="2" max="2" width="47.8515625" style="229" customWidth="1"/>
    <col min="3" max="3" width="11.140625" style="233" customWidth="1"/>
    <col min="4" max="4" width="11.28125" style="201" customWidth="1"/>
    <col min="5" max="5" width="9.57421875" style="201" customWidth="1"/>
    <col min="6" max="6" width="9.8515625" style="201" customWidth="1"/>
    <col min="7" max="7" width="8.7109375" style="201" customWidth="1"/>
    <col min="8" max="8" width="8.57421875" style="201" customWidth="1"/>
    <col min="9" max="9" width="8.421875" style="201" customWidth="1"/>
    <col min="10" max="10" width="9.28125" style="201" customWidth="1"/>
    <col min="11" max="11" width="11.421875" style="231" customWidth="1"/>
    <col min="12" max="12" width="13.57421875" style="231" customWidth="1"/>
    <col min="13" max="13" width="11.8515625" style="231" customWidth="1"/>
    <col min="14" max="16384" width="9.140625" style="201" customWidth="1"/>
  </cols>
  <sheetData>
    <row r="2" spans="1:3" ht="15.75">
      <c r="A2" s="201"/>
      <c r="B2" s="201"/>
      <c r="C2" s="231"/>
    </row>
    <row r="3" spans="1:13" ht="42.75" customHeight="1">
      <c r="A3" s="242" t="s">
        <v>271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110.25">
      <c r="A4" s="243" t="s">
        <v>190</v>
      </c>
      <c r="B4" s="243" t="s">
        <v>58</v>
      </c>
      <c r="C4" s="234" t="s">
        <v>283</v>
      </c>
      <c r="D4" s="202" t="s">
        <v>208</v>
      </c>
      <c r="E4" s="202" t="s">
        <v>209</v>
      </c>
      <c r="F4" s="202" t="s">
        <v>210</v>
      </c>
      <c r="G4" s="202" t="s">
        <v>211</v>
      </c>
      <c r="H4" s="202" t="s">
        <v>212</v>
      </c>
      <c r="I4" s="202" t="s">
        <v>213</v>
      </c>
      <c r="J4" s="202" t="s">
        <v>214</v>
      </c>
      <c r="K4" s="212" t="s">
        <v>200</v>
      </c>
      <c r="L4" s="212" t="s">
        <v>56</v>
      </c>
      <c r="M4" s="240" t="s">
        <v>215</v>
      </c>
    </row>
    <row r="5" spans="1:13" s="241" customFormat="1" ht="15.75">
      <c r="A5" s="203">
        <v>1</v>
      </c>
      <c r="B5" s="203">
        <v>2</v>
      </c>
      <c r="C5" s="205">
        <v>4</v>
      </c>
      <c r="D5" s="230">
        <v>5</v>
      </c>
      <c r="E5" s="230">
        <v>6</v>
      </c>
      <c r="F5" s="230">
        <v>7</v>
      </c>
      <c r="G5" s="230">
        <v>8</v>
      </c>
      <c r="H5" s="230">
        <v>9</v>
      </c>
      <c r="I5" s="230">
        <v>10</v>
      </c>
      <c r="J5" s="230">
        <v>11</v>
      </c>
      <c r="K5" s="230">
        <v>12</v>
      </c>
      <c r="L5" s="230">
        <v>13</v>
      </c>
      <c r="M5" s="230">
        <v>14</v>
      </c>
    </row>
    <row r="6" spans="1:13" s="246" customFormat="1" ht="15.75">
      <c r="A6" s="206" t="s">
        <v>59</v>
      </c>
      <c r="B6" s="207" t="s">
        <v>60</v>
      </c>
      <c r="C6" s="208">
        <f>C7+C8+C9+C10+C13+C17+C18+C19</f>
        <v>43610.399999999994</v>
      </c>
      <c r="D6" s="208">
        <f aca="true" t="shared" si="0" ref="D6:J6">D7+D8+D9+D10+D13+D17+D18+D19</f>
        <v>1810</v>
      </c>
      <c r="E6" s="208">
        <f t="shared" si="0"/>
        <v>3418.9</v>
      </c>
      <c r="F6" s="208">
        <f t="shared" si="0"/>
        <v>3105.4</v>
      </c>
      <c r="G6" s="208">
        <f t="shared" si="0"/>
        <v>2156.6</v>
      </c>
      <c r="H6" s="208">
        <f t="shared" si="0"/>
        <v>3232.7999999999997</v>
      </c>
      <c r="I6" s="208">
        <f t="shared" si="0"/>
        <v>2566.7999999999997</v>
      </c>
      <c r="J6" s="208">
        <f t="shared" si="0"/>
        <v>2905.1</v>
      </c>
      <c r="K6" s="264">
        <f>SUM(D6:J6)</f>
        <v>19195.6</v>
      </c>
      <c r="L6" s="208">
        <f>L7+L8+L9+L10+L13+L17+L18+L19</f>
        <v>191</v>
      </c>
      <c r="M6" s="264">
        <f>K6+C6-L6</f>
        <v>62614.99999999999</v>
      </c>
    </row>
    <row r="7" spans="1:13" s="246" customFormat="1" ht="31.5">
      <c r="A7" s="204" t="s">
        <v>61</v>
      </c>
      <c r="B7" s="212" t="s">
        <v>249</v>
      </c>
      <c r="C7" s="261">
        <v>1756.2</v>
      </c>
      <c r="D7" s="261">
        <v>0</v>
      </c>
      <c r="E7" s="261">
        <v>0</v>
      </c>
      <c r="F7" s="261">
        <v>0</v>
      </c>
      <c r="G7" s="261">
        <v>0</v>
      </c>
      <c r="H7" s="261">
        <v>0</v>
      </c>
      <c r="I7" s="261">
        <v>0</v>
      </c>
      <c r="J7" s="261">
        <v>0</v>
      </c>
      <c r="K7" s="260">
        <f aca="true" t="shared" si="1" ref="K7:K70">SUM(D7:J7)</f>
        <v>0</v>
      </c>
      <c r="L7" s="261"/>
      <c r="M7" s="260">
        <f aca="true" t="shared" si="2" ref="M7:M70">K7+C7-L7</f>
        <v>1756.2</v>
      </c>
    </row>
    <row r="8" spans="1:13" s="246" customFormat="1" ht="15.75" hidden="1">
      <c r="A8" s="204" t="s">
        <v>62</v>
      </c>
      <c r="B8" s="212" t="s">
        <v>63</v>
      </c>
      <c r="C8" s="213">
        <f>0</f>
        <v>0</v>
      </c>
      <c r="D8" s="213">
        <f>0</f>
        <v>0</v>
      </c>
      <c r="E8" s="213">
        <f>0</f>
        <v>0</v>
      </c>
      <c r="F8" s="213">
        <f>0</f>
        <v>0</v>
      </c>
      <c r="G8" s="213">
        <f>0</f>
        <v>0</v>
      </c>
      <c r="H8" s="213">
        <f>0</f>
        <v>0</v>
      </c>
      <c r="I8" s="213">
        <f>0</f>
        <v>0</v>
      </c>
      <c r="J8" s="213">
        <f>0</f>
        <v>0</v>
      </c>
      <c r="K8" s="260">
        <f t="shared" si="1"/>
        <v>0</v>
      </c>
      <c r="L8" s="213"/>
      <c r="M8" s="260">
        <f t="shared" si="2"/>
        <v>0</v>
      </c>
    </row>
    <row r="9" spans="1:13" s="246" customFormat="1" ht="15.75" hidden="1">
      <c r="A9" s="204"/>
      <c r="B9" s="212"/>
      <c r="C9" s="213"/>
      <c r="D9" s="213"/>
      <c r="E9" s="213"/>
      <c r="F9" s="213"/>
      <c r="G9" s="213"/>
      <c r="H9" s="213"/>
      <c r="I9" s="213"/>
      <c r="J9" s="213"/>
      <c r="K9" s="260">
        <f t="shared" si="1"/>
        <v>0</v>
      </c>
      <c r="L9" s="213"/>
      <c r="M9" s="260">
        <f t="shared" si="2"/>
        <v>0</v>
      </c>
    </row>
    <row r="10" spans="1:13" s="246" customFormat="1" ht="31.5">
      <c r="A10" s="204" t="s">
        <v>64</v>
      </c>
      <c r="B10" s="212" t="s">
        <v>250</v>
      </c>
      <c r="C10" s="213">
        <v>19631.6</v>
      </c>
      <c r="D10" s="213">
        <v>0</v>
      </c>
      <c r="E10" s="213">
        <v>3328.9</v>
      </c>
      <c r="F10" s="213">
        <v>3035.4</v>
      </c>
      <c r="G10" s="213">
        <v>2076.6</v>
      </c>
      <c r="H10" s="213">
        <v>3079.6</v>
      </c>
      <c r="I10" s="213">
        <v>2513.6</v>
      </c>
      <c r="J10" s="213">
        <v>2800.4</v>
      </c>
      <c r="K10" s="260">
        <f t="shared" si="1"/>
        <v>16834.5</v>
      </c>
      <c r="L10" s="213"/>
      <c r="M10" s="260">
        <f t="shared" si="2"/>
        <v>36466.1</v>
      </c>
    </row>
    <row r="11" spans="1:13" s="246" customFormat="1" ht="15.75" hidden="1">
      <c r="A11" s="204"/>
      <c r="B11" s="212" t="s">
        <v>65</v>
      </c>
      <c r="C11" s="213"/>
      <c r="D11" s="213"/>
      <c r="E11" s="213"/>
      <c r="F11" s="213"/>
      <c r="G11" s="213"/>
      <c r="H11" s="213"/>
      <c r="I11" s="213"/>
      <c r="J11" s="213"/>
      <c r="K11" s="260">
        <f t="shared" si="1"/>
        <v>0</v>
      </c>
      <c r="L11" s="213"/>
      <c r="M11" s="260">
        <f t="shared" si="2"/>
        <v>0</v>
      </c>
    </row>
    <row r="12" spans="1:13" s="246" customFormat="1" ht="15.75" hidden="1">
      <c r="A12" s="204"/>
      <c r="B12" s="212" t="s">
        <v>66</v>
      </c>
      <c r="C12" s="213">
        <f>0</f>
        <v>0</v>
      </c>
      <c r="D12" s="213">
        <f>0</f>
        <v>0</v>
      </c>
      <c r="E12" s="213">
        <f>0</f>
        <v>0</v>
      </c>
      <c r="F12" s="213">
        <f>0</f>
        <v>0</v>
      </c>
      <c r="G12" s="213">
        <f>0</f>
        <v>0</v>
      </c>
      <c r="H12" s="213">
        <f>0</f>
        <v>0</v>
      </c>
      <c r="I12" s="213">
        <f>0</f>
        <v>0</v>
      </c>
      <c r="J12" s="213">
        <f>0</f>
        <v>0</v>
      </c>
      <c r="K12" s="260">
        <f t="shared" si="1"/>
        <v>0</v>
      </c>
      <c r="L12" s="213">
        <f>0</f>
        <v>0</v>
      </c>
      <c r="M12" s="260">
        <f t="shared" si="2"/>
        <v>0</v>
      </c>
    </row>
    <row r="13" spans="1:13" s="246" customFormat="1" ht="31.5">
      <c r="A13" s="204" t="s">
        <v>67</v>
      </c>
      <c r="B13" s="212" t="s">
        <v>251</v>
      </c>
      <c r="C13" s="213">
        <f>C14+C15+C16</f>
        <v>8712.5</v>
      </c>
      <c r="D13" s="213">
        <f aca="true" t="shared" si="3" ref="D13:J13">D14+D15+D16</f>
        <v>0</v>
      </c>
      <c r="E13" s="213">
        <f t="shared" si="3"/>
        <v>35</v>
      </c>
      <c r="F13" s="213">
        <f t="shared" si="3"/>
        <v>35</v>
      </c>
      <c r="G13" s="213">
        <f t="shared" si="3"/>
        <v>25</v>
      </c>
      <c r="H13" s="213">
        <f t="shared" si="3"/>
        <v>38</v>
      </c>
      <c r="I13" s="213">
        <f t="shared" si="3"/>
        <v>28</v>
      </c>
      <c r="J13" s="213">
        <f t="shared" si="3"/>
        <v>30</v>
      </c>
      <c r="K13" s="260">
        <f t="shared" si="1"/>
        <v>191</v>
      </c>
      <c r="L13" s="213">
        <f>L14+L15+L16</f>
        <v>191</v>
      </c>
      <c r="M13" s="260">
        <f t="shared" si="2"/>
        <v>8712.5</v>
      </c>
    </row>
    <row r="14" spans="1:13" ht="31.5">
      <c r="A14" s="210"/>
      <c r="B14" s="39" t="s">
        <v>68</v>
      </c>
      <c r="C14" s="211">
        <v>7951.7</v>
      </c>
      <c r="D14" s="211">
        <v>0</v>
      </c>
      <c r="E14" s="211">
        <v>0</v>
      </c>
      <c r="F14" s="211">
        <v>0</v>
      </c>
      <c r="G14" s="211">
        <v>0</v>
      </c>
      <c r="H14" s="211">
        <v>0</v>
      </c>
      <c r="I14" s="211">
        <v>0</v>
      </c>
      <c r="J14" s="211">
        <v>0</v>
      </c>
      <c r="K14" s="262">
        <f t="shared" si="1"/>
        <v>0</v>
      </c>
      <c r="L14" s="211"/>
      <c r="M14" s="262">
        <f t="shared" si="2"/>
        <v>7951.7</v>
      </c>
    </row>
    <row r="15" spans="1:13" ht="15.75">
      <c r="A15" s="210"/>
      <c r="B15" s="39" t="s">
        <v>69</v>
      </c>
      <c r="C15" s="211">
        <v>191</v>
      </c>
      <c r="D15" s="211">
        <v>0</v>
      </c>
      <c r="E15" s="211">
        <v>35</v>
      </c>
      <c r="F15" s="211">
        <v>35</v>
      </c>
      <c r="G15" s="211">
        <v>25</v>
      </c>
      <c r="H15" s="211">
        <v>38</v>
      </c>
      <c r="I15" s="211">
        <v>28</v>
      </c>
      <c r="J15" s="211">
        <v>30</v>
      </c>
      <c r="K15" s="262">
        <f t="shared" si="1"/>
        <v>191</v>
      </c>
      <c r="L15" s="211">
        <f>K15</f>
        <v>191</v>
      </c>
      <c r="M15" s="262">
        <f t="shared" si="2"/>
        <v>191</v>
      </c>
    </row>
    <row r="16" spans="1:13" ht="31.5">
      <c r="A16" s="210"/>
      <c r="B16" s="39" t="s">
        <v>252</v>
      </c>
      <c r="C16" s="211">
        <v>569.8</v>
      </c>
      <c r="D16" s="211">
        <v>0</v>
      </c>
      <c r="E16" s="211">
        <v>0</v>
      </c>
      <c r="F16" s="211">
        <v>0</v>
      </c>
      <c r="G16" s="211">
        <v>0</v>
      </c>
      <c r="H16" s="211">
        <v>0</v>
      </c>
      <c r="I16" s="211">
        <v>0</v>
      </c>
      <c r="J16" s="211">
        <v>0</v>
      </c>
      <c r="K16" s="262">
        <f t="shared" si="1"/>
        <v>0</v>
      </c>
      <c r="L16" s="211"/>
      <c r="M16" s="262">
        <f t="shared" si="2"/>
        <v>569.8</v>
      </c>
    </row>
    <row r="17" spans="1:13" s="246" customFormat="1" ht="31.5" hidden="1">
      <c r="A17" s="204" t="s">
        <v>70</v>
      </c>
      <c r="B17" s="212" t="s">
        <v>71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60">
        <f t="shared" si="1"/>
        <v>0</v>
      </c>
      <c r="L17" s="213">
        <v>0</v>
      </c>
      <c r="M17" s="260">
        <f t="shared" si="2"/>
        <v>0</v>
      </c>
    </row>
    <row r="18" spans="1:13" s="246" customFormat="1" ht="15.75">
      <c r="A18" s="204" t="s">
        <v>72</v>
      </c>
      <c r="B18" s="212" t="s">
        <v>73</v>
      </c>
      <c r="C18" s="213">
        <v>500</v>
      </c>
      <c r="D18" s="213">
        <v>100</v>
      </c>
      <c r="E18" s="213">
        <v>50</v>
      </c>
      <c r="F18" s="213">
        <v>30</v>
      </c>
      <c r="G18" s="213">
        <v>50</v>
      </c>
      <c r="H18" s="213">
        <v>50</v>
      </c>
      <c r="I18" s="213">
        <v>20</v>
      </c>
      <c r="J18" s="213">
        <v>20</v>
      </c>
      <c r="K18" s="260">
        <f t="shared" si="1"/>
        <v>320</v>
      </c>
      <c r="L18" s="213"/>
      <c r="M18" s="260">
        <f t="shared" si="2"/>
        <v>820</v>
      </c>
    </row>
    <row r="19" spans="1:13" s="246" customFormat="1" ht="31.5">
      <c r="A19" s="204" t="s">
        <v>74</v>
      </c>
      <c r="B19" s="212" t="s">
        <v>284</v>
      </c>
      <c r="C19" s="213">
        <f>C20+C21+C22+C24+C25+C27+C28+C29+C30+C32+C33-0.1</f>
        <v>13010.099999999999</v>
      </c>
      <c r="D19" s="213">
        <f>D20+D21+D22+D24+D25+D27+D28+D29+D30+D32+D33</f>
        <v>1710</v>
      </c>
      <c r="E19" s="213">
        <f>E20+E21+E22+E24+E25+E27+E28+E29+E30+E32+E33</f>
        <v>5</v>
      </c>
      <c r="F19" s="213">
        <f>F20+F21+F22+F24+F25+F27+F28+F29+F30+F32+F33</f>
        <v>5</v>
      </c>
      <c r="G19" s="213">
        <f>G20+G21+G22+G24+G25+G27+G28+G29+G30+G32+G33</f>
        <v>5</v>
      </c>
      <c r="H19" s="213">
        <f>H20+H21+H22+H24+H25+H27+H28+H29+H30+H32+H33</f>
        <v>65.2</v>
      </c>
      <c r="I19" s="213">
        <f>I20+I21+I22+I24+I25+I27+I28+I29+I30+I32+I33</f>
        <v>5.2</v>
      </c>
      <c r="J19" s="213">
        <f>J20+J21+J22+J24+J25+J27+J28+J29+J30+J32+J33</f>
        <v>54.7</v>
      </c>
      <c r="K19" s="260">
        <f t="shared" si="1"/>
        <v>1850.1000000000001</v>
      </c>
      <c r="L19" s="213">
        <f>L20+L21+L22+L24+L25+L27+L28+L29+L30+L32+L33</f>
        <v>0</v>
      </c>
      <c r="M19" s="260">
        <f t="shared" si="2"/>
        <v>14860.199999999999</v>
      </c>
    </row>
    <row r="20" spans="1:13" ht="15.75">
      <c r="A20" s="210"/>
      <c r="B20" s="39" t="s">
        <v>216</v>
      </c>
      <c r="C20" s="211">
        <v>0</v>
      </c>
      <c r="D20" s="211">
        <v>270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62">
        <f t="shared" si="1"/>
        <v>270</v>
      </c>
      <c r="L20" s="211">
        <v>0</v>
      </c>
      <c r="M20" s="262">
        <f t="shared" si="2"/>
        <v>270</v>
      </c>
    </row>
    <row r="21" spans="1:13" ht="31.5">
      <c r="A21" s="210"/>
      <c r="B21" s="235" t="s">
        <v>350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15</v>
      </c>
      <c r="I21" s="211">
        <v>0</v>
      </c>
      <c r="J21" s="211">
        <v>10</v>
      </c>
      <c r="K21" s="262">
        <f t="shared" si="1"/>
        <v>25</v>
      </c>
      <c r="L21" s="211"/>
      <c r="M21" s="262">
        <f t="shared" si="2"/>
        <v>25</v>
      </c>
    </row>
    <row r="22" spans="1:13" ht="63">
      <c r="A22" s="210"/>
      <c r="B22" s="39" t="s">
        <v>253</v>
      </c>
      <c r="C22" s="211">
        <v>5685</v>
      </c>
      <c r="D22" s="211">
        <v>870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62">
        <f t="shared" si="1"/>
        <v>870</v>
      </c>
      <c r="L22" s="211"/>
      <c r="M22" s="262">
        <f t="shared" si="2"/>
        <v>6555</v>
      </c>
    </row>
    <row r="23" spans="1:13" ht="15.75" hidden="1">
      <c r="A23" s="210"/>
      <c r="B23" s="41" t="s">
        <v>75</v>
      </c>
      <c r="C23" s="211">
        <v>23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62">
        <f t="shared" si="1"/>
        <v>0</v>
      </c>
      <c r="L23" s="211"/>
      <c r="M23" s="262">
        <f t="shared" si="2"/>
        <v>23</v>
      </c>
    </row>
    <row r="24" spans="1:13" ht="78.75">
      <c r="A24" s="210"/>
      <c r="B24" s="39" t="s">
        <v>76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62">
        <f t="shared" si="1"/>
        <v>0</v>
      </c>
      <c r="L24" s="211"/>
      <c r="M24" s="262">
        <f t="shared" si="2"/>
        <v>0</v>
      </c>
    </row>
    <row r="25" spans="1:13" ht="63">
      <c r="A25" s="210"/>
      <c r="B25" s="39" t="s">
        <v>254</v>
      </c>
      <c r="C25" s="211">
        <v>3061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62">
        <f t="shared" si="1"/>
        <v>0</v>
      </c>
      <c r="L25" s="211"/>
      <c r="M25" s="262">
        <f t="shared" si="2"/>
        <v>3061</v>
      </c>
    </row>
    <row r="26" spans="1:13" ht="15.75" hidden="1">
      <c r="A26" s="210"/>
      <c r="B26" s="41" t="s">
        <v>75</v>
      </c>
      <c r="C26" s="211">
        <f>0</f>
        <v>0</v>
      </c>
      <c r="D26" s="211">
        <f>0</f>
        <v>0</v>
      </c>
      <c r="E26" s="211">
        <f>0</f>
        <v>0</v>
      </c>
      <c r="F26" s="211">
        <f>0</f>
        <v>0</v>
      </c>
      <c r="G26" s="211">
        <f>0</f>
        <v>0</v>
      </c>
      <c r="H26" s="211">
        <v>0</v>
      </c>
      <c r="I26" s="211">
        <f>0</f>
        <v>0</v>
      </c>
      <c r="J26" s="211">
        <f>0</f>
        <v>0</v>
      </c>
      <c r="K26" s="262">
        <f t="shared" si="1"/>
        <v>0</v>
      </c>
      <c r="L26" s="211"/>
      <c r="M26" s="262">
        <f t="shared" si="2"/>
        <v>0</v>
      </c>
    </row>
    <row r="27" spans="1:13" ht="47.25">
      <c r="A27" s="210"/>
      <c r="B27" s="39" t="s">
        <v>255</v>
      </c>
      <c r="C27" s="211">
        <v>140.3</v>
      </c>
      <c r="D27" s="211">
        <v>50</v>
      </c>
      <c r="E27" s="211">
        <v>5</v>
      </c>
      <c r="F27" s="211">
        <v>5</v>
      </c>
      <c r="G27" s="211">
        <v>5</v>
      </c>
      <c r="H27" s="211">
        <v>5.2</v>
      </c>
      <c r="I27" s="211">
        <v>5.2</v>
      </c>
      <c r="J27" s="211">
        <v>4.7</v>
      </c>
      <c r="K27" s="262">
        <f t="shared" si="1"/>
        <v>80.10000000000001</v>
      </c>
      <c r="L27" s="211"/>
      <c r="M27" s="262">
        <f t="shared" si="2"/>
        <v>220.40000000000003</v>
      </c>
    </row>
    <row r="28" spans="1:13" ht="31.5">
      <c r="A28" s="210"/>
      <c r="B28" s="39" t="s">
        <v>234</v>
      </c>
      <c r="C28" s="211">
        <v>200</v>
      </c>
      <c r="D28" s="211">
        <v>520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62">
        <f t="shared" si="1"/>
        <v>520</v>
      </c>
      <c r="L28" s="211"/>
      <c r="M28" s="262">
        <f t="shared" si="2"/>
        <v>720</v>
      </c>
    </row>
    <row r="29" spans="1:13" ht="47.25">
      <c r="A29" s="210"/>
      <c r="B29" s="39" t="s">
        <v>256</v>
      </c>
      <c r="C29" s="211">
        <v>100</v>
      </c>
      <c r="D29" s="211">
        <v>0</v>
      </c>
      <c r="E29" s="211">
        <v>0</v>
      </c>
      <c r="F29" s="211">
        <v>0</v>
      </c>
      <c r="G29" s="211">
        <v>0</v>
      </c>
      <c r="H29" s="211">
        <v>45</v>
      </c>
      <c r="I29" s="211">
        <v>0</v>
      </c>
      <c r="J29" s="211">
        <v>40</v>
      </c>
      <c r="K29" s="262">
        <f t="shared" si="1"/>
        <v>85</v>
      </c>
      <c r="L29" s="211"/>
      <c r="M29" s="262">
        <f t="shared" si="2"/>
        <v>185</v>
      </c>
    </row>
    <row r="30" spans="1:13" ht="47.25">
      <c r="A30" s="210"/>
      <c r="B30" s="39" t="s">
        <v>285</v>
      </c>
      <c r="C30" s="211">
        <v>3823.9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62">
        <f t="shared" si="1"/>
        <v>0</v>
      </c>
      <c r="L30" s="211"/>
      <c r="M30" s="262">
        <f t="shared" si="2"/>
        <v>3823.9</v>
      </c>
    </row>
    <row r="31" spans="1:13" ht="31.5">
      <c r="A31" s="214"/>
      <c r="B31" s="254" t="s">
        <v>286</v>
      </c>
      <c r="C31" s="211">
        <v>639.4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62">
        <f t="shared" si="1"/>
        <v>0</v>
      </c>
      <c r="L31" s="211"/>
      <c r="M31" s="262">
        <f t="shared" si="2"/>
        <v>639.4</v>
      </c>
    </row>
    <row r="32" spans="1:13" ht="63" hidden="1">
      <c r="A32" s="215"/>
      <c r="B32" s="41" t="s">
        <v>77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62">
        <f t="shared" si="1"/>
        <v>0</v>
      </c>
      <c r="L32" s="211"/>
      <c r="M32" s="262">
        <f t="shared" si="2"/>
        <v>0</v>
      </c>
    </row>
    <row r="33" spans="1:13" ht="31.5" hidden="1">
      <c r="A33" s="210"/>
      <c r="B33" s="41" t="s">
        <v>12</v>
      </c>
      <c r="C33" s="211">
        <v>0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  <c r="K33" s="262">
        <f t="shared" si="1"/>
        <v>0</v>
      </c>
      <c r="L33" s="211"/>
      <c r="M33" s="262">
        <f t="shared" si="2"/>
        <v>0</v>
      </c>
    </row>
    <row r="34" spans="1:13" s="246" customFormat="1" ht="15.75">
      <c r="A34" s="204" t="s">
        <v>78</v>
      </c>
      <c r="B34" s="212" t="s">
        <v>79</v>
      </c>
      <c r="C34" s="213">
        <f>C35</f>
        <v>0</v>
      </c>
      <c r="D34" s="213">
        <f aca="true" t="shared" si="4" ref="D34:J34">D35</f>
        <v>0</v>
      </c>
      <c r="E34" s="213">
        <f t="shared" si="4"/>
        <v>206.6</v>
      </c>
      <c r="F34" s="213">
        <f t="shared" si="4"/>
        <v>82.6</v>
      </c>
      <c r="G34" s="213">
        <f t="shared" si="4"/>
        <v>82.6</v>
      </c>
      <c r="H34" s="213">
        <f t="shared" si="4"/>
        <v>206.6</v>
      </c>
      <c r="I34" s="213">
        <f t="shared" si="4"/>
        <v>206.6</v>
      </c>
      <c r="J34" s="213">
        <f t="shared" si="4"/>
        <v>206.6</v>
      </c>
      <c r="K34" s="260">
        <f t="shared" si="1"/>
        <v>991.6</v>
      </c>
      <c r="L34" s="213">
        <f>L35</f>
        <v>0</v>
      </c>
      <c r="M34" s="260">
        <f t="shared" si="2"/>
        <v>991.6</v>
      </c>
    </row>
    <row r="35" spans="1:13" s="246" customFormat="1" ht="31.5">
      <c r="A35" s="204" t="s">
        <v>80</v>
      </c>
      <c r="B35" s="212" t="s">
        <v>81</v>
      </c>
      <c r="C35" s="213">
        <f>0</f>
        <v>0</v>
      </c>
      <c r="D35" s="213">
        <f>0</f>
        <v>0</v>
      </c>
      <c r="E35" s="213">
        <v>206.6</v>
      </c>
      <c r="F35" s="213">
        <v>82.6</v>
      </c>
      <c r="G35" s="213">
        <v>82.6</v>
      </c>
      <c r="H35" s="213">
        <v>206.6</v>
      </c>
      <c r="I35" s="213">
        <v>206.6</v>
      </c>
      <c r="J35" s="213">
        <v>206.6</v>
      </c>
      <c r="K35" s="260">
        <f t="shared" si="1"/>
        <v>991.6</v>
      </c>
      <c r="L35" s="213"/>
      <c r="M35" s="260">
        <f t="shared" si="2"/>
        <v>991.6</v>
      </c>
    </row>
    <row r="36" spans="1:13" s="246" customFormat="1" ht="47.25">
      <c r="A36" s="206" t="s">
        <v>82</v>
      </c>
      <c r="B36" s="207" t="s">
        <v>257</v>
      </c>
      <c r="C36" s="208">
        <f>C37+C44</f>
        <v>0</v>
      </c>
      <c r="D36" s="208">
        <f aca="true" t="shared" si="5" ref="D36:J36">D37+D44</f>
        <v>750</v>
      </c>
      <c r="E36" s="208">
        <f t="shared" si="5"/>
        <v>0</v>
      </c>
      <c r="F36" s="208">
        <f t="shared" si="5"/>
        <v>0</v>
      </c>
      <c r="G36" s="208">
        <f t="shared" si="5"/>
        <v>0</v>
      </c>
      <c r="H36" s="208">
        <f t="shared" si="5"/>
        <v>0</v>
      </c>
      <c r="I36" s="208">
        <f t="shared" si="5"/>
        <v>0</v>
      </c>
      <c r="J36" s="208">
        <f t="shared" si="5"/>
        <v>0</v>
      </c>
      <c r="K36" s="264">
        <f t="shared" si="1"/>
        <v>750</v>
      </c>
      <c r="L36" s="208">
        <f>L37+L44</f>
        <v>0</v>
      </c>
      <c r="M36" s="264">
        <f t="shared" si="2"/>
        <v>750</v>
      </c>
    </row>
    <row r="37" spans="1:13" s="246" customFormat="1" ht="47.25">
      <c r="A37" s="204" t="s">
        <v>83</v>
      </c>
      <c r="B37" s="212" t="s">
        <v>287</v>
      </c>
      <c r="C37" s="213">
        <f>SUM(C39:C43)</f>
        <v>0</v>
      </c>
      <c r="D37" s="213">
        <f aca="true" t="shared" si="6" ref="D37:J37">SUM(D39:D43)</f>
        <v>750</v>
      </c>
      <c r="E37" s="213">
        <f t="shared" si="6"/>
        <v>0</v>
      </c>
      <c r="F37" s="213">
        <f t="shared" si="6"/>
        <v>0</v>
      </c>
      <c r="G37" s="213">
        <f t="shared" si="6"/>
        <v>0</v>
      </c>
      <c r="H37" s="213">
        <f t="shared" si="6"/>
        <v>0</v>
      </c>
      <c r="I37" s="213">
        <f t="shared" si="6"/>
        <v>0</v>
      </c>
      <c r="J37" s="213">
        <f t="shared" si="6"/>
        <v>0</v>
      </c>
      <c r="K37" s="260">
        <f t="shared" si="1"/>
        <v>750</v>
      </c>
      <c r="L37" s="213"/>
      <c r="M37" s="260">
        <f t="shared" si="2"/>
        <v>750</v>
      </c>
    </row>
    <row r="38" spans="1:13" ht="15.75" hidden="1">
      <c r="A38" s="210"/>
      <c r="B38" s="39" t="s">
        <v>84</v>
      </c>
      <c r="C38" s="211"/>
      <c r="D38" s="211"/>
      <c r="E38" s="211"/>
      <c r="F38" s="211"/>
      <c r="G38" s="211"/>
      <c r="H38" s="211"/>
      <c r="I38" s="211"/>
      <c r="J38" s="211"/>
      <c r="K38" s="262">
        <f t="shared" si="1"/>
        <v>0</v>
      </c>
      <c r="L38" s="211"/>
      <c r="M38" s="262">
        <f t="shared" si="2"/>
        <v>0</v>
      </c>
    </row>
    <row r="39" spans="1:13" ht="126" hidden="1">
      <c r="A39" s="210"/>
      <c r="B39" s="39" t="s">
        <v>327</v>
      </c>
      <c r="C39" s="211">
        <v>0</v>
      </c>
      <c r="D39" s="211">
        <v>0</v>
      </c>
      <c r="E39" s="211">
        <v>0</v>
      </c>
      <c r="F39" s="211">
        <v>0</v>
      </c>
      <c r="G39" s="211">
        <v>0</v>
      </c>
      <c r="H39" s="211">
        <v>0</v>
      </c>
      <c r="I39" s="211">
        <v>0</v>
      </c>
      <c r="J39" s="211">
        <v>0</v>
      </c>
      <c r="K39" s="262">
        <f t="shared" si="1"/>
        <v>0</v>
      </c>
      <c r="L39" s="211">
        <v>0</v>
      </c>
      <c r="M39" s="262">
        <f t="shared" si="2"/>
        <v>0</v>
      </c>
    </row>
    <row r="40" spans="1:13" ht="138" customHeight="1">
      <c r="A40" s="210"/>
      <c r="B40" s="236" t="s">
        <v>324</v>
      </c>
      <c r="C40" s="211">
        <v>0</v>
      </c>
      <c r="D40" s="211">
        <v>150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0</v>
      </c>
      <c r="K40" s="262">
        <f t="shared" si="1"/>
        <v>150</v>
      </c>
      <c r="L40" s="211"/>
      <c r="M40" s="262">
        <f t="shared" si="2"/>
        <v>150</v>
      </c>
    </row>
    <row r="41" spans="1:13" ht="157.5">
      <c r="A41" s="210"/>
      <c r="B41" s="235" t="s">
        <v>325</v>
      </c>
      <c r="C41" s="211">
        <v>0</v>
      </c>
      <c r="D41" s="211">
        <v>590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62">
        <f t="shared" si="1"/>
        <v>590</v>
      </c>
      <c r="L41" s="211"/>
      <c r="M41" s="262">
        <f t="shared" si="2"/>
        <v>590</v>
      </c>
    </row>
    <row r="42" spans="1:13" ht="141.75">
      <c r="A42" s="39"/>
      <c r="B42" s="236" t="s">
        <v>326</v>
      </c>
      <c r="C42" s="211">
        <v>0</v>
      </c>
      <c r="D42" s="211">
        <v>10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62">
        <f t="shared" si="1"/>
        <v>10</v>
      </c>
      <c r="L42" s="211"/>
      <c r="M42" s="262">
        <f t="shared" si="2"/>
        <v>10</v>
      </c>
    </row>
    <row r="43" spans="1:13" ht="126" hidden="1">
      <c r="A43" s="210"/>
      <c r="B43" s="39" t="s">
        <v>87</v>
      </c>
      <c r="C43" s="211">
        <v>0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62">
        <f t="shared" si="1"/>
        <v>0</v>
      </c>
      <c r="L43" s="211"/>
      <c r="M43" s="262">
        <f t="shared" si="2"/>
        <v>0</v>
      </c>
    </row>
    <row r="44" spans="1:13" ht="15.75" hidden="1">
      <c r="A44" s="210" t="s">
        <v>89</v>
      </c>
      <c r="B44" s="39" t="s">
        <v>90</v>
      </c>
      <c r="C44" s="211"/>
      <c r="D44" s="211"/>
      <c r="E44" s="211"/>
      <c r="F44" s="211"/>
      <c r="G44" s="211"/>
      <c r="H44" s="211"/>
      <c r="I44" s="211"/>
      <c r="J44" s="211"/>
      <c r="K44" s="262">
        <f t="shared" si="1"/>
        <v>0</v>
      </c>
      <c r="L44" s="211"/>
      <c r="M44" s="262">
        <f t="shared" si="2"/>
        <v>0</v>
      </c>
    </row>
    <row r="45" spans="1:13" ht="15.75" hidden="1">
      <c r="A45" s="210"/>
      <c r="B45" s="39" t="s">
        <v>91</v>
      </c>
      <c r="C45" s="211"/>
      <c r="D45" s="211"/>
      <c r="E45" s="211"/>
      <c r="F45" s="211"/>
      <c r="G45" s="211"/>
      <c r="H45" s="211"/>
      <c r="I45" s="211"/>
      <c r="J45" s="211"/>
      <c r="K45" s="262">
        <f t="shared" si="1"/>
        <v>0</v>
      </c>
      <c r="L45" s="211"/>
      <c r="M45" s="262">
        <f t="shared" si="2"/>
        <v>0</v>
      </c>
    </row>
    <row r="46" spans="1:13" s="246" customFormat="1" ht="15.75">
      <c r="A46" s="206" t="s">
        <v>92</v>
      </c>
      <c r="B46" s="207" t="s">
        <v>93</v>
      </c>
      <c r="C46" s="208">
        <f>C47+C49+C51+C65</f>
        <v>21097.7</v>
      </c>
      <c r="D46" s="208">
        <f aca="true" t="shared" si="7" ref="D46:J46">D47+D49+D51+D65</f>
        <v>8082.7</v>
      </c>
      <c r="E46" s="208">
        <f t="shared" si="7"/>
        <v>3</v>
      </c>
      <c r="F46" s="208">
        <f t="shared" si="7"/>
        <v>43</v>
      </c>
      <c r="G46" s="208">
        <f t="shared" si="7"/>
        <v>63</v>
      </c>
      <c r="H46" s="208">
        <f t="shared" si="7"/>
        <v>53</v>
      </c>
      <c r="I46" s="208">
        <f t="shared" si="7"/>
        <v>3</v>
      </c>
      <c r="J46" s="208">
        <f t="shared" si="7"/>
        <v>53</v>
      </c>
      <c r="K46" s="264">
        <f t="shared" si="1"/>
        <v>8300.7</v>
      </c>
      <c r="L46" s="208">
        <f>L47+L49+L51+L65</f>
        <v>0</v>
      </c>
      <c r="M46" s="264">
        <f t="shared" si="2"/>
        <v>29398.4</v>
      </c>
    </row>
    <row r="47" spans="1:13" s="246" customFormat="1" ht="31.5">
      <c r="A47" s="204" t="s">
        <v>195</v>
      </c>
      <c r="B47" s="212" t="s">
        <v>258</v>
      </c>
      <c r="C47" s="213">
        <f>C48</f>
        <v>48.7</v>
      </c>
      <c r="D47" s="213">
        <f aca="true" t="shared" si="8" ref="D47:J47">D48</f>
        <v>0</v>
      </c>
      <c r="E47" s="213">
        <f t="shared" si="8"/>
        <v>0</v>
      </c>
      <c r="F47" s="213">
        <f t="shared" si="8"/>
        <v>0</v>
      </c>
      <c r="G47" s="213">
        <f t="shared" si="8"/>
        <v>0</v>
      </c>
      <c r="H47" s="213">
        <f t="shared" si="8"/>
        <v>0</v>
      </c>
      <c r="I47" s="213">
        <f t="shared" si="8"/>
        <v>0</v>
      </c>
      <c r="J47" s="213">
        <f t="shared" si="8"/>
        <v>0</v>
      </c>
      <c r="K47" s="260">
        <f t="shared" si="1"/>
        <v>0</v>
      </c>
      <c r="L47" s="213">
        <f>L48</f>
        <v>0</v>
      </c>
      <c r="M47" s="260">
        <f t="shared" si="2"/>
        <v>48.7</v>
      </c>
    </row>
    <row r="48" spans="1:13" s="246" customFormat="1" ht="47.25">
      <c r="A48" s="204"/>
      <c r="B48" s="212" t="s">
        <v>196</v>
      </c>
      <c r="C48" s="213">
        <v>48.7</v>
      </c>
      <c r="D48" s="213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60">
        <f t="shared" si="1"/>
        <v>0</v>
      </c>
      <c r="L48" s="213"/>
      <c r="M48" s="260">
        <f t="shared" si="2"/>
        <v>48.7</v>
      </c>
    </row>
    <row r="49" spans="1:13" s="246" customFormat="1" ht="15.75">
      <c r="A49" s="204" t="s">
        <v>289</v>
      </c>
      <c r="B49" s="248" t="s">
        <v>290</v>
      </c>
      <c r="C49" s="213">
        <f>C50</f>
        <v>700</v>
      </c>
      <c r="D49" s="213">
        <f aca="true" t="shared" si="9" ref="D49:J49">D50</f>
        <v>200</v>
      </c>
      <c r="E49" s="213">
        <f t="shared" si="9"/>
        <v>0</v>
      </c>
      <c r="F49" s="213">
        <f t="shared" si="9"/>
        <v>0</v>
      </c>
      <c r="G49" s="213">
        <f t="shared" si="9"/>
        <v>0</v>
      </c>
      <c r="H49" s="213">
        <f t="shared" si="9"/>
        <v>0</v>
      </c>
      <c r="I49" s="213">
        <f t="shared" si="9"/>
        <v>0</v>
      </c>
      <c r="J49" s="213">
        <f t="shared" si="9"/>
        <v>0</v>
      </c>
      <c r="K49" s="260">
        <f t="shared" si="1"/>
        <v>200</v>
      </c>
      <c r="L49" s="213">
        <f>L50</f>
        <v>0</v>
      </c>
      <c r="M49" s="260">
        <f t="shared" si="2"/>
        <v>900</v>
      </c>
    </row>
    <row r="50" spans="1:13" ht="78.75">
      <c r="A50" s="210"/>
      <c r="B50" s="216" t="s">
        <v>291</v>
      </c>
      <c r="C50" s="211">
        <v>700</v>
      </c>
      <c r="D50" s="211">
        <v>200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62">
        <f t="shared" si="1"/>
        <v>200</v>
      </c>
      <c r="L50" s="211"/>
      <c r="M50" s="262">
        <f t="shared" si="2"/>
        <v>900</v>
      </c>
    </row>
    <row r="51" spans="1:13" s="246" customFormat="1" ht="15.75">
      <c r="A51" s="204" t="s">
        <v>94</v>
      </c>
      <c r="B51" s="244" t="s">
        <v>292</v>
      </c>
      <c r="C51" s="213">
        <f>SUM(C53:C63)</f>
        <v>20134</v>
      </c>
      <c r="D51" s="213">
        <f aca="true" t="shared" si="10" ref="D51:J51">SUM(D53:D63)</f>
        <v>7782.7</v>
      </c>
      <c r="E51" s="213">
        <f t="shared" si="10"/>
        <v>0</v>
      </c>
      <c r="F51" s="213">
        <f t="shared" si="10"/>
        <v>0</v>
      </c>
      <c r="G51" s="213">
        <f t="shared" si="10"/>
        <v>0</v>
      </c>
      <c r="H51" s="213">
        <f t="shared" si="10"/>
        <v>0</v>
      </c>
      <c r="I51" s="213">
        <f t="shared" si="10"/>
        <v>0</v>
      </c>
      <c r="J51" s="213">
        <f t="shared" si="10"/>
        <v>0</v>
      </c>
      <c r="K51" s="260">
        <f t="shared" si="1"/>
        <v>7782.7</v>
      </c>
      <c r="L51" s="213">
        <f>SUM(L53:L63)</f>
        <v>0</v>
      </c>
      <c r="M51" s="260">
        <f t="shared" si="2"/>
        <v>27916.7</v>
      </c>
    </row>
    <row r="52" spans="1:13" ht="15.75" hidden="1">
      <c r="A52" s="210"/>
      <c r="B52" s="40" t="s">
        <v>84</v>
      </c>
      <c r="C52" s="211"/>
      <c r="D52" s="211"/>
      <c r="E52" s="211"/>
      <c r="F52" s="211"/>
      <c r="G52" s="211"/>
      <c r="H52" s="211"/>
      <c r="I52" s="211"/>
      <c r="J52" s="211"/>
      <c r="K52" s="262">
        <f t="shared" si="1"/>
        <v>0</v>
      </c>
      <c r="L52" s="211"/>
      <c r="M52" s="262">
        <f t="shared" si="2"/>
        <v>0</v>
      </c>
    </row>
    <row r="53" spans="1:13" ht="31.5">
      <c r="A53" s="210"/>
      <c r="B53" s="217" t="s">
        <v>293</v>
      </c>
      <c r="C53" s="211">
        <v>100</v>
      </c>
      <c r="D53" s="211">
        <v>0</v>
      </c>
      <c r="E53" s="211"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62">
        <f t="shared" si="1"/>
        <v>0</v>
      </c>
      <c r="L53" s="211"/>
      <c r="M53" s="262">
        <f t="shared" si="2"/>
        <v>100</v>
      </c>
    </row>
    <row r="54" spans="1:13" ht="31.5">
      <c r="A54" s="210"/>
      <c r="B54" s="217" t="s">
        <v>294</v>
      </c>
      <c r="C54" s="211">
        <v>100</v>
      </c>
      <c r="D54" s="211">
        <v>0</v>
      </c>
      <c r="E54" s="211">
        <v>0</v>
      </c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62">
        <f t="shared" si="1"/>
        <v>0</v>
      </c>
      <c r="L54" s="211"/>
      <c r="M54" s="262">
        <f t="shared" si="2"/>
        <v>100</v>
      </c>
    </row>
    <row r="55" spans="1:13" ht="47.25" hidden="1">
      <c r="A55" s="210"/>
      <c r="B55" s="40" t="s">
        <v>187</v>
      </c>
      <c r="C55" s="211">
        <f>0</f>
        <v>0</v>
      </c>
      <c r="D55" s="211">
        <f>0</f>
        <v>0</v>
      </c>
      <c r="E55" s="211">
        <f>0</f>
        <v>0</v>
      </c>
      <c r="F55" s="211">
        <f>0</f>
        <v>0</v>
      </c>
      <c r="G55" s="211">
        <v>0</v>
      </c>
      <c r="H55" s="211">
        <f>0</f>
        <v>0</v>
      </c>
      <c r="I55" s="211">
        <f>0</f>
        <v>0</v>
      </c>
      <c r="J55" s="211">
        <f>0</f>
        <v>0</v>
      </c>
      <c r="K55" s="262">
        <f t="shared" si="1"/>
        <v>0</v>
      </c>
      <c r="L55" s="211"/>
      <c r="M55" s="262">
        <f t="shared" si="2"/>
        <v>0</v>
      </c>
    </row>
    <row r="56" spans="1:13" ht="78.75" hidden="1">
      <c r="A56" s="210"/>
      <c r="B56" s="40" t="s">
        <v>295</v>
      </c>
      <c r="C56" s="211">
        <v>0</v>
      </c>
      <c r="D56" s="211">
        <v>0</v>
      </c>
      <c r="E56" s="211">
        <v>0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  <c r="K56" s="262">
        <f t="shared" si="1"/>
        <v>0</v>
      </c>
      <c r="L56" s="211"/>
      <c r="M56" s="262">
        <f t="shared" si="2"/>
        <v>0</v>
      </c>
    </row>
    <row r="57" spans="1:13" ht="63" hidden="1">
      <c r="A57" s="210"/>
      <c r="B57" s="39" t="s">
        <v>197</v>
      </c>
      <c r="C57" s="211">
        <v>0</v>
      </c>
      <c r="D57" s="211">
        <v>0</v>
      </c>
      <c r="E57" s="211">
        <v>0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62">
        <f t="shared" si="1"/>
        <v>0</v>
      </c>
      <c r="L57" s="211"/>
      <c r="M57" s="262">
        <f t="shared" si="2"/>
        <v>0</v>
      </c>
    </row>
    <row r="58" spans="1:13" ht="74.25" customHeight="1">
      <c r="A58" s="210"/>
      <c r="B58" s="217" t="s">
        <v>296</v>
      </c>
      <c r="C58" s="209">
        <v>15344.6</v>
      </c>
      <c r="D58" s="209">
        <v>0</v>
      </c>
      <c r="E58" s="209">
        <v>0</v>
      </c>
      <c r="F58" s="209">
        <v>0</v>
      </c>
      <c r="G58" s="209">
        <v>0</v>
      </c>
      <c r="H58" s="209">
        <v>0</v>
      </c>
      <c r="I58" s="209">
        <v>0</v>
      </c>
      <c r="J58" s="209">
        <v>0</v>
      </c>
      <c r="K58" s="262">
        <f t="shared" si="1"/>
        <v>0</v>
      </c>
      <c r="L58" s="209"/>
      <c r="M58" s="262">
        <f t="shared" si="2"/>
        <v>15344.6</v>
      </c>
    </row>
    <row r="59" spans="1:13" ht="74.25" customHeight="1">
      <c r="A59" s="210"/>
      <c r="B59" s="237" t="s">
        <v>328</v>
      </c>
      <c r="C59" s="209">
        <v>0</v>
      </c>
      <c r="D59" s="209">
        <v>5082.2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209">
        <v>0</v>
      </c>
      <c r="K59" s="262">
        <f t="shared" si="1"/>
        <v>5082.2</v>
      </c>
      <c r="L59" s="209"/>
      <c r="M59" s="262"/>
    </row>
    <row r="60" spans="1:13" ht="51.75" customHeight="1">
      <c r="A60" s="210"/>
      <c r="B60" s="218" t="s">
        <v>297</v>
      </c>
      <c r="C60" s="209">
        <f>2000</f>
        <v>2000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 s="209">
        <v>0</v>
      </c>
      <c r="K60" s="262">
        <f t="shared" si="1"/>
        <v>0</v>
      </c>
      <c r="L60" s="209"/>
      <c r="M60" s="262">
        <f t="shared" si="2"/>
        <v>2000</v>
      </c>
    </row>
    <row r="61" spans="1:13" ht="15.75">
      <c r="A61" s="210"/>
      <c r="B61" s="217" t="s">
        <v>298</v>
      </c>
      <c r="C61" s="209">
        <f>489.4</f>
        <v>489.4</v>
      </c>
      <c r="D61" s="209">
        <v>2300.5</v>
      </c>
      <c r="E61" s="209">
        <v>0</v>
      </c>
      <c r="F61" s="209">
        <v>0</v>
      </c>
      <c r="G61" s="209">
        <v>0</v>
      </c>
      <c r="H61" s="209">
        <v>0</v>
      </c>
      <c r="I61" s="209">
        <v>0</v>
      </c>
      <c r="J61" s="209">
        <v>0</v>
      </c>
      <c r="K61" s="262">
        <f t="shared" si="1"/>
        <v>2300.5</v>
      </c>
      <c r="L61" s="209"/>
      <c r="M61" s="262">
        <f t="shared" si="2"/>
        <v>2789.9</v>
      </c>
    </row>
    <row r="62" spans="1:13" ht="15.75">
      <c r="A62" s="210"/>
      <c r="B62" s="217" t="s">
        <v>299</v>
      </c>
      <c r="C62" s="209">
        <f>1600</f>
        <v>1600</v>
      </c>
      <c r="D62" s="209">
        <v>0</v>
      </c>
      <c r="E62" s="209">
        <v>0</v>
      </c>
      <c r="F62" s="209">
        <v>0</v>
      </c>
      <c r="G62" s="209">
        <v>0</v>
      </c>
      <c r="H62" s="209">
        <v>0</v>
      </c>
      <c r="I62" s="209">
        <v>0</v>
      </c>
      <c r="J62" s="209">
        <v>0</v>
      </c>
      <c r="K62" s="262">
        <f t="shared" si="1"/>
        <v>0</v>
      </c>
      <c r="L62" s="209"/>
      <c r="M62" s="262">
        <f t="shared" si="2"/>
        <v>1600</v>
      </c>
    </row>
    <row r="63" spans="1:13" ht="31.5">
      <c r="A63" s="210"/>
      <c r="B63" s="219" t="s">
        <v>300</v>
      </c>
      <c r="C63" s="209">
        <f>500</f>
        <v>500</v>
      </c>
      <c r="D63" s="209">
        <v>400</v>
      </c>
      <c r="E63" s="209">
        <v>0</v>
      </c>
      <c r="F63" s="209">
        <v>0</v>
      </c>
      <c r="G63" s="209">
        <v>0</v>
      </c>
      <c r="H63" s="209">
        <v>0</v>
      </c>
      <c r="I63" s="209">
        <v>0</v>
      </c>
      <c r="J63" s="209">
        <v>0</v>
      </c>
      <c r="K63" s="262">
        <f t="shared" si="1"/>
        <v>400</v>
      </c>
      <c r="L63" s="209"/>
      <c r="M63" s="262">
        <f t="shared" si="2"/>
        <v>900</v>
      </c>
    </row>
    <row r="64" spans="1:13" ht="31.5">
      <c r="A64" s="210"/>
      <c r="B64" s="41" t="s">
        <v>12</v>
      </c>
      <c r="C64" s="209"/>
      <c r="D64" s="209"/>
      <c r="E64" s="209"/>
      <c r="F64" s="209"/>
      <c r="G64" s="209"/>
      <c r="H64" s="209"/>
      <c r="I64" s="209"/>
      <c r="J64" s="209"/>
      <c r="K64" s="262">
        <f t="shared" si="1"/>
        <v>0</v>
      </c>
      <c r="L64" s="209"/>
      <c r="M64" s="262">
        <f t="shared" si="2"/>
        <v>0</v>
      </c>
    </row>
    <row r="65" spans="1:13" s="246" customFormat="1" ht="31.5">
      <c r="A65" s="204" t="s">
        <v>95</v>
      </c>
      <c r="B65" s="212" t="s">
        <v>301</v>
      </c>
      <c r="C65" s="213">
        <f>C66+C67+C68</f>
        <v>215</v>
      </c>
      <c r="D65" s="213">
        <f aca="true" t="shared" si="11" ref="D65:J65">D66+D67+D68</f>
        <v>100</v>
      </c>
      <c r="E65" s="213">
        <f t="shared" si="11"/>
        <v>3</v>
      </c>
      <c r="F65" s="213">
        <f t="shared" si="11"/>
        <v>43</v>
      </c>
      <c r="G65" s="213">
        <f t="shared" si="11"/>
        <v>63</v>
      </c>
      <c r="H65" s="213">
        <f t="shared" si="11"/>
        <v>53</v>
      </c>
      <c r="I65" s="213">
        <f t="shared" si="11"/>
        <v>3</v>
      </c>
      <c r="J65" s="213">
        <f t="shared" si="11"/>
        <v>53</v>
      </c>
      <c r="K65" s="260">
        <f t="shared" si="1"/>
        <v>318</v>
      </c>
      <c r="L65" s="213">
        <f>L66+L67+L68</f>
        <v>0</v>
      </c>
      <c r="M65" s="260">
        <f t="shared" si="2"/>
        <v>533</v>
      </c>
    </row>
    <row r="66" spans="1:13" ht="31.5">
      <c r="A66" s="210"/>
      <c r="B66" s="39" t="s">
        <v>270</v>
      </c>
      <c r="C66" s="211">
        <v>200</v>
      </c>
      <c r="D66" s="211">
        <v>100</v>
      </c>
      <c r="E66" s="211">
        <v>0</v>
      </c>
      <c r="F66" s="211">
        <v>40</v>
      </c>
      <c r="G66" s="211">
        <v>60</v>
      </c>
      <c r="H66" s="211">
        <v>50</v>
      </c>
      <c r="I66" s="211">
        <v>0</v>
      </c>
      <c r="J66" s="211">
        <v>50</v>
      </c>
      <c r="K66" s="262">
        <f t="shared" si="1"/>
        <v>300</v>
      </c>
      <c r="L66" s="211"/>
      <c r="M66" s="262">
        <f t="shared" si="2"/>
        <v>500</v>
      </c>
    </row>
    <row r="67" spans="1:13" ht="31.5">
      <c r="A67" s="210"/>
      <c r="B67" s="220" t="s">
        <v>349</v>
      </c>
      <c r="C67" s="211">
        <v>15</v>
      </c>
      <c r="D67" s="211">
        <v>0</v>
      </c>
      <c r="E67" s="211">
        <v>3</v>
      </c>
      <c r="F67" s="211">
        <v>3</v>
      </c>
      <c r="G67" s="211">
        <v>3</v>
      </c>
      <c r="H67" s="211">
        <v>3</v>
      </c>
      <c r="I67" s="211">
        <v>3</v>
      </c>
      <c r="J67" s="211">
        <v>3</v>
      </c>
      <c r="K67" s="262">
        <f t="shared" si="1"/>
        <v>18</v>
      </c>
      <c r="L67" s="211"/>
      <c r="M67" s="262">
        <f t="shared" si="2"/>
        <v>33</v>
      </c>
    </row>
    <row r="68" spans="1:13" ht="110.25" hidden="1">
      <c r="A68" s="210"/>
      <c r="B68" s="39" t="s">
        <v>259</v>
      </c>
      <c r="C68" s="211"/>
      <c r="D68" s="211"/>
      <c r="E68" s="211"/>
      <c r="F68" s="211"/>
      <c r="G68" s="211"/>
      <c r="H68" s="211"/>
      <c r="I68" s="211"/>
      <c r="J68" s="211"/>
      <c r="K68" s="262">
        <f t="shared" si="1"/>
        <v>0</v>
      </c>
      <c r="L68" s="211"/>
      <c r="M68" s="262">
        <f t="shared" si="2"/>
        <v>0</v>
      </c>
    </row>
    <row r="69" spans="1:13" s="246" customFormat="1" ht="31.5">
      <c r="A69" s="206" t="s">
        <v>96</v>
      </c>
      <c r="B69" s="207" t="s">
        <v>97</v>
      </c>
      <c r="C69" s="208">
        <f>C70+C74+C82</f>
        <v>500</v>
      </c>
      <c r="D69" s="208">
        <f>D70+D74+D82</f>
        <v>32765</v>
      </c>
      <c r="E69" s="208">
        <f>E70+E74+E82</f>
        <v>1414.4</v>
      </c>
      <c r="F69" s="208">
        <f>F70+F74+F82</f>
        <v>872.4000000000001</v>
      </c>
      <c r="G69" s="208">
        <f>G70+G74+G82</f>
        <v>1398.2</v>
      </c>
      <c r="H69" s="208">
        <f>H70+H74+H82</f>
        <v>1787.1999999999998</v>
      </c>
      <c r="I69" s="208">
        <f>I70+I74+I82</f>
        <v>789.9</v>
      </c>
      <c r="J69" s="208">
        <f>J70+J74+J82</f>
        <v>1211.6</v>
      </c>
      <c r="K69" s="264">
        <f t="shared" si="1"/>
        <v>40238.7</v>
      </c>
      <c r="L69" s="208">
        <f>L70+L74+L82</f>
        <v>0</v>
      </c>
      <c r="M69" s="264">
        <f t="shared" si="2"/>
        <v>40738.7</v>
      </c>
    </row>
    <row r="70" spans="1:13" s="246" customFormat="1" ht="15.75">
      <c r="A70" s="204" t="s">
        <v>98</v>
      </c>
      <c r="B70" s="212" t="s">
        <v>99</v>
      </c>
      <c r="C70" s="213">
        <f>C71+C72+C73</f>
        <v>400</v>
      </c>
      <c r="D70" s="213">
        <f aca="true" t="shared" si="12" ref="D70:J70">D71+D72+D73</f>
        <v>1600</v>
      </c>
      <c r="E70" s="213">
        <f t="shared" si="12"/>
        <v>0</v>
      </c>
      <c r="F70" s="213">
        <f t="shared" si="12"/>
        <v>0</v>
      </c>
      <c r="G70" s="213">
        <f t="shared" si="12"/>
        <v>0</v>
      </c>
      <c r="H70" s="213">
        <f t="shared" si="12"/>
        <v>0</v>
      </c>
      <c r="I70" s="213">
        <f t="shared" si="12"/>
        <v>0</v>
      </c>
      <c r="J70" s="213">
        <f t="shared" si="12"/>
        <v>0</v>
      </c>
      <c r="K70" s="260">
        <f t="shared" si="1"/>
        <v>1600</v>
      </c>
      <c r="L70" s="213">
        <f>L71+L72+L73</f>
        <v>0</v>
      </c>
      <c r="M70" s="260">
        <f t="shared" si="2"/>
        <v>2000</v>
      </c>
    </row>
    <row r="71" spans="1:13" ht="31.5">
      <c r="A71" s="210"/>
      <c r="B71" s="39" t="s">
        <v>260</v>
      </c>
      <c r="C71" s="211">
        <v>400</v>
      </c>
      <c r="D71" s="211">
        <v>1000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62">
        <f>SUM(D71:J71)</f>
        <v>1000</v>
      </c>
      <c r="L71" s="211"/>
      <c r="M71" s="262">
        <f>K71+C71-L71</f>
        <v>1400</v>
      </c>
    </row>
    <row r="72" spans="1:13" ht="63">
      <c r="A72" s="210"/>
      <c r="B72" s="39" t="s">
        <v>329</v>
      </c>
      <c r="C72" s="211">
        <v>0</v>
      </c>
      <c r="D72" s="211">
        <v>600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  <c r="K72" s="262"/>
      <c r="L72" s="211"/>
      <c r="M72" s="262"/>
    </row>
    <row r="73" spans="1:13" ht="31.5" hidden="1">
      <c r="A73" s="210"/>
      <c r="B73" s="221" t="s">
        <v>303</v>
      </c>
      <c r="C73" s="211">
        <v>0</v>
      </c>
      <c r="D73" s="211">
        <v>0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62">
        <f aca="true" t="shared" si="13" ref="K73:K137">SUM(D73:J73)</f>
        <v>0</v>
      </c>
      <c r="L73" s="211"/>
      <c r="M73" s="262">
        <f aca="true" t="shared" si="14" ref="M73:M137">K73+C73-L73</f>
        <v>0</v>
      </c>
    </row>
    <row r="74" spans="1:13" s="246" customFormat="1" ht="15.75">
      <c r="A74" s="204" t="s">
        <v>100</v>
      </c>
      <c r="B74" s="212" t="s">
        <v>261</v>
      </c>
      <c r="C74" s="213">
        <f>SUM(C75:C81)</f>
        <v>100</v>
      </c>
      <c r="D74" s="213">
        <f aca="true" t="shared" si="15" ref="D74:J74">SUM(D75:D81)</f>
        <v>4000</v>
      </c>
      <c r="E74" s="213">
        <f t="shared" si="15"/>
        <v>0</v>
      </c>
      <c r="F74" s="213">
        <f t="shared" si="15"/>
        <v>0</v>
      </c>
      <c r="G74" s="213">
        <f t="shared" si="15"/>
        <v>0</v>
      </c>
      <c r="H74" s="213">
        <f t="shared" si="15"/>
        <v>0</v>
      </c>
      <c r="I74" s="213">
        <f t="shared" si="15"/>
        <v>0</v>
      </c>
      <c r="J74" s="213">
        <f t="shared" si="15"/>
        <v>0</v>
      </c>
      <c r="K74" s="260">
        <f t="shared" si="13"/>
        <v>4000</v>
      </c>
      <c r="L74" s="213">
        <f>SUM(L75:L81)</f>
        <v>0</v>
      </c>
      <c r="M74" s="260">
        <f t="shared" si="14"/>
        <v>4100</v>
      </c>
    </row>
    <row r="75" spans="1:13" ht="31.5">
      <c r="A75" s="210"/>
      <c r="B75" s="220" t="s">
        <v>304</v>
      </c>
      <c r="C75" s="211">
        <v>100</v>
      </c>
      <c r="D75" s="211">
        <v>0</v>
      </c>
      <c r="E75" s="211">
        <v>0</v>
      </c>
      <c r="F75" s="211">
        <v>0</v>
      </c>
      <c r="G75" s="211">
        <v>0</v>
      </c>
      <c r="H75" s="211">
        <v>0</v>
      </c>
      <c r="I75" s="211">
        <v>0</v>
      </c>
      <c r="J75" s="211">
        <v>0</v>
      </c>
      <c r="K75" s="262">
        <f t="shared" si="13"/>
        <v>0</v>
      </c>
      <c r="L75" s="211"/>
      <c r="M75" s="262">
        <f t="shared" si="14"/>
        <v>100</v>
      </c>
    </row>
    <row r="76" spans="1:13" ht="110.25" hidden="1">
      <c r="A76" s="210"/>
      <c r="B76" s="39" t="s">
        <v>262</v>
      </c>
      <c r="C76" s="211">
        <v>0</v>
      </c>
      <c r="D76" s="211">
        <v>0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62">
        <f t="shared" si="13"/>
        <v>0</v>
      </c>
      <c r="L76" s="211"/>
      <c r="M76" s="262">
        <f t="shared" si="14"/>
        <v>0</v>
      </c>
    </row>
    <row r="77" spans="1:13" ht="63" hidden="1">
      <c r="A77" s="210"/>
      <c r="B77" s="39" t="s">
        <v>101</v>
      </c>
      <c r="C77" s="211">
        <v>0</v>
      </c>
      <c r="D77" s="211">
        <v>0</v>
      </c>
      <c r="E77" s="211">
        <v>0</v>
      </c>
      <c r="F77" s="211">
        <v>0</v>
      </c>
      <c r="G77" s="211">
        <v>0</v>
      </c>
      <c r="H77" s="211">
        <v>0</v>
      </c>
      <c r="I77" s="211">
        <v>0</v>
      </c>
      <c r="J77" s="211">
        <v>0</v>
      </c>
      <c r="K77" s="262">
        <f t="shared" si="13"/>
        <v>0</v>
      </c>
      <c r="L77" s="211"/>
      <c r="M77" s="262">
        <f t="shared" si="14"/>
        <v>0</v>
      </c>
    </row>
    <row r="78" spans="1:13" ht="63" hidden="1">
      <c r="A78" s="210"/>
      <c r="B78" s="39" t="s">
        <v>102</v>
      </c>
      <c r="C78" s="211">
        <v>0</v>
      </c>
      <c r="D78" s="211">
        <v>0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62">
        <f t="shared" si="13"/>
        <v>0</v>
      </c>
      <c r="L78" s="211"/>
      <c r="M78" s="262">
        <f t="shared" si="14"/>
        <v>0</v>
      </c>
    </row>
    <row r="79" spans="1:13" ht="47.25">
      <c r="A79" s="210"/>
      <c r="B79" s="39" t="s">
        <v>330</v>
      </c>
      <c r="C79" s="211">
        <v>0</v>
      </c>
      <c r="D79" s="211">
        <v>1000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62">
        <f t="shared" si="13"/>
        <v>1000</v>
      </c>
      <c r="L79" s="211"/>
      <c r="M79" s="262">
        <f t="shared" si="14"/>
        <v>1000</v>
      </c>
    </row>
    <row r="80" spans="1:13" ht="47.25">
      <c r="A80" s="210"/>
      <c r="B80" s="245" t="s">
        <v>352</v>
      </c>
      <c r="C80" s="211">
        <v>0</v>
      </c>
      <c r="D80" s="211">
        <v>3000</v>
      </c>
      <c r="E80" s="211"/>
      <c r="F80" s="211"/>
      <c r="G80" s="211"/>
      <c r="H80" s="211"/>
      <c r="I80" s="211"/>
      <c r="J80" s="211"/>
      <c r="K80" s="262"/>
      <c r="L80" s="211"/>
      <c r="M80" s="262"/>
    </row>
    <row r="81" spans="1:13" ht="47.25" hidden="1">
      <c r="A81" s="210"/>
      <c r="B81" s="39" t="s">
        <v>331</v>
      </c>
      <c r="C81" s="211"/>
      <c r="D81" s="211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62">
        <f t="shared" si="13"/>
        <v>0</v>
      </c>
      <c r="L81" s="211"/>
      <c r="M81" s="262"/>
    </row>
    <row r="82" spans="1:13" s="246" customFormat="1" ht="15.75">
      <c r="A82" s="204" t="s">
        <v>103</v>
      </c>
      <c r="B82" s="212" t="s">
        <v>348</v>
      </c>
      <c r="C82" s="213">
        <f>SUM(C83:C104)</f>
        <v>0</v>
      </c>
      <c r="D82" s="213">
        <f>SUM(D83:D104)</f>
        <v>27165</v>
      </c>
      <c r="E82" s="213">
        <f>SUM(E83:E104)</f>
        <v>1414.4</v>
      </c>
      <c r="F82" s="213">
        <f>SUM(F83:F104)</f>
        <v>872.4000000000001</v>
      </c>
      <c r="G82" s="213">
        <f>SUM(G83:G104)</f>
        <v>1398.2</v>
      </c>
      <c r="H82" s="213">
        <f>SUM(H83:H104)</f>
        <v>1787.1999999999998</v>
      </c>
      <c r="I82" s="213">
        <f>SUM(I83:I104)</f>
        <v>789.9</v>
      </c>
      <c r="J82" s="213">
        <f>SUM(J83:J104)</f>
        <v>1211.6</v>
      </c>
      <c r="K82" s="260">
        <f t="shared" si="13"/>
        <v>34638.700000000004</v>
      </c>
      <c r="L82" s="213">
        <f>SUM(L83:L104)</f>
        <v>0</v>
      </c>
      <c r="M82" s="260">
        <f t="shared" si="14"/>
        <v>34638.700000000004</v>
      </c>
    </row>
    <row r="83" spans="1:13" ht="35.25" customHeight="1">
      <c r="A83" s="210"/>
      <c r="B83" s="236" t="s">
        <v>353</v>
      </c>
      <c r="C83" s="263">
        <v>0</v>
      </c>
      <c r="D83" s="238">
        <v>250</v>
      </c>
      <c r="E83" s="211">
        <v>30</v>
      </c>
      <c r="F83" s="211">
        <v>15</v>
      </c>
      <c r="G83" s="211">
        <v>0</v>
      </c>
      <c r="H83" s="211">
        <v>15</v>
      </c>
      <c r="I83" s="211">
        <v>20</v>
      </c>
      <c r="J83" s="211">
        <v>0</v>
      </c>
      <c r="K83" s="262"/>
      <c r="L83" s="263"/>
      <c r="M83" s="262"/>
    </row>
    <row r="84" spans="1:13" ht="15.75">
      <c r="A84" s="210"/>
      <c r="B84" s="236" t="s">
        <v>332</v>
      </c>
      <c r="C84" s="263">
        <v>0</v>
      </c>
      <c r="D84" s="238">
        <v>150</v>
      </c>
      <c r="E84" s="211">
        <v>0</v>
      </c>
      <c r="F84" s="211">
        <v>0</v>
      </c>
      <c r="G84" s="211">
        <v>0</v>
      </c>
      <c r="H84" s="211">
        <v>0</v>
      </c>
      <c r="I84" s="211">
        <v>0</v>
      </c>
      <c r="J84" s="211">
        <v>0</v>
      </c>
      <c r="K84" s="262"/>
      <c r="L84" s="263"/>
      <c r="M84" s="262"/>
    </row>
    <row r="85" spans="1:13" ht="31.5">
      <c r="A85" s="210"/>
      <c r="B85" s="236" t="s">
        <v>333</v>
      </c>
      <c r="C85" s="263">
        <v>0</v>
      </c>
      <c r="D85" s="238">
        <v>150</v>
      </c>
      <c r="E85" s="211">
        <v>10</v>
      </c>
      <c r="F85" s="211">
        <v>20</v>
      </c>
      <c r="G85" s="211">
        <v>20</v>
      </c>
      <c r="H85" s="211">
        <v>25</v>
      </c>
      <c r="I85" s="211">
        <v>10</v>
      </c>
      <c r="J85" s="211">
        <v>13.7</v>
      </c>
      <c r="K85" s="262"/>
      <c r="L85" s="263"/>
      <c r="M85" s="262"/>
    </row>
    <row r="86" spans="1:13" ht="15.75">
      <c r="A86" s="210"/>
      <c r="B86" s="236" t="s">
        <v>334</v>
      </c>
      <c r="C86" s="263">
        <v>0</v>
      </c>
      <c r="D86" s="238">
        <v>250</v>
      </c>
      <c r="E86" s="211">
        <v>120</v>
      </c>
      <c r="F86" s="211">
        <v>50</v>
      </c>
      <c r="G86" s="211">
        <v>58</v>
      </c>
      <c r="H86" s="211">
        <v>100</v>
      </c>
      <c r="I86" s="211">
        <v>50</v>
      </c>
      <c r="J86" s="211">
        <v>37.5</v>
      </c>
      <c r="K86" s="262"/>
      <c r="L86" s="263"/>
      <c r="M86" s="262"/>
    </row>
    <row r="87" spans="1:13" ht="31.5">
      <c r="A87" s="210"/>
      <c r="B87" s="236" t="s">
        <v>354</v>
      </c>
      <c r="C87" s="263">
        <v>0</v>
      </c>
      <c r="D87" s="238">
        <v>250</v>
      </c>
      <c r="E87" s="211">
        <v>60</v>
      </c>
      <c r="F87" s="211">
        <v>69.8</v>
      </c>
      <c r="G87" s="211">
        <v>40</v>
      </c>
      <c r="H87" s="211">
        <v>40</v>
      </c>
      <c r="I87" s="211">
        <v>25</v>
      </c>
      <c r="J87" s="211">
        <v>80</v>
      </c>
      <c r="K87" s="262"/>
      <c r="L87" s="263"/>
      <c r="M87" s="262"/>
    </row>
    <row r="88" spans="1:13" ht="15.75">
      <c r="A88" s="210"/>
      <c r="B88" s="236" t="s">
        <v>335</v>
      </c>
      <c r="C88" s="263">
        <v>0</v>
      </c>
      <c r="D88" s="238">
        <v>1000</v>
      </c>
      <c r="E88" s="211">
        <v>0</v>
      </c>
      <c r="F88" s="211">
        <v>0</v>
      </c>
      <c r="G88" s="211">
        <v>0</v>
      </c>
      <c r="H88" s="211">
        <v>0</v>
      </c>
      <c r="I88" s="211">
        <v>0</v>
      </c>
      <c r="J88" s="211">
        <v>0</v>
      </c>
      <c r="K88" s="262"/>
      <c r="L88" s="263"/>
      <c r="M88" s="262"/>
    </row>
    <row r="89" spans="1:13" ht="31.5">
      <c r="A89" s="210"/>
      <c r="B89" s="236" t="s">
        <v>355</v>
      </c>
      <c r="C89" s="263">
        <v>0</v>
      </c>
      <c r="D89" s="238">
        <v>15200</v>
      </c>
      <c r="E89" s="211">
        <v>230</v>
      </c>
      <c r="F89" s="211">
        <v>98.4</v>
      </c>
      <c r="G89" s="211">
        <v>170</v>
      </c>
      <c r="H89" s="211">
        <v>150</v>
      </c>
      <c r="I89" s="211">
        <v>65</v>
      </c>
      <c r="J89" s="211">
        <v>20</v>
      </c>
      <c r="K89" s="262"/>
      <c r="L89" s="263"/>
      <c r="M89" s="262"/>
    </row>
    <row r="90" spans="1:13" ht="31.5">
      <c r="A90" s="210"/>
      <c r="B90" s="236" t="s">
        <v>356</v>
      </c>
      <c r="C90" s="263">
        <v>0</v>
      </c>
      <c r="D90" s="238">
        <v>2500</v>
      </c>
      <c r="E90" s="211">
        <v>0</v>
      </c>
      <c r="F90" s="211">
        <v>0</v>
      </c>
      <c r="G90" s="211">
        <v>0</v>
      </c>
      <c r="H90" s="211">
        <v>0</v>
      </c>
      <c r="I90" s="211">
        <v>0</v>
      </c>
      <c r="J90" s="211">
        <v>0</v>
      </c>
      <c r="K90" s="262"/>
      <c r="L90" s="263"/>
      <c r="M90" s="262"/>
    </row>
    <row r="91" spans="1:13" ht="31.5" hidden="1">
      <c r="A91" s="210"/>
      <c r="B91" s="236" t="s">
        <v>336</v>
      </c>
      <c r="C91" s="263">
        <v>0</v>
      </c>
      <c r="D91" s="238">
        <v>0</v>
      </c>
      <c r="E91" s="211">
        <v>0</v>
      </c>
      <c r="F91" s="211">
        <v>0</v>
      </c>
      <c r="G91" s="211">
        <v>0</v>
      </c>
      <c r="H91" s="211">
        <v>0</v>
      </c>
      <c r="I91" s="211">
        <v>0</v>
      </c>
      <c r="J91" s="211">
        <v>0</v>
      </c>
      <c r="K91" s="262"/>
      <c r="L91" s="263"/>
      <c r="M91" s="262"/>
    </row>
    <row r="92" spans="1:13" ht="15.75">
      <c r="A92" s="210"/>
      <c r="B92" s="236" t="s">
        <v>338</v>
      </c>
      <c r="C92" s="263">
        <v>0</v>
      </c>
      <c r="D92" s="238">
        <v>100</v>
      </c>
      <c r="E92" s="211">
        <v>0</v>
      </c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62"/>
      <c r="L92" s="263"/>
      <c r="M92" s="262"/>
    </row>
    <row r="93" spans="1:13" ht="31.5">
      <c r="A93" s="210"/>
      <c r="B93" s="236" t="s">
        <v>339</v>
      </c>
      <c r="C93" s="263">
        <v>0</v>
      </c>
      <c r="D93" s="238">
        <v>5400</v>
      </c>
      <c r="E93" s="211">
        <v>390</v>
      </c>
      <c r="F93" s="211">
        <v>470</v>
      </c>
      <c r="G93" s="211">
        <v>220</v>
      </c>
      <c r="H93" s="211">
        <v>480</v>
      </c>
      <c r="I93" s="211">
        <v>370</v>
      </c>
      <c r="J93" s="211">
        <v>590</v>
      </c>
      <c r="K93" s="262"/>
      <c r="L93" s="263"/>
      <c r="M93" s="262"/>
    </row>
    <row r="94" spans="1:13" ht="31.5">
      <c r="A94" s="210"/>
      <c r="B94" s="236" t="s">
        <v>357</v>
      </c>
      <c r="C94" s="263">
        <v>0</v>
      </c>
      <c r="D94" s="238">
        <v>1400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62"/>
      <c r="L94" s="263"/>
      <c r="M94" s="262"/>
    </row>
    <row r="95" spans="1:13" ht="47.25" hidden="1">
      <c r="A95" s="210"/>
      <c r="B95" s="236" t="s">
        <v>340</v>
      </c>
      <c r="C95" s="263">
        <v>0</v>
      </c>
      <c r="D95" s="238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62"/>
      <c r="L95" s="263"/>
      <c r="M95" s="262"/>
    </row>
    <row r="96" spans="1:13" ht="31.5">
      <c r="A96" s="210"/>
      <c r="B96" s="236" t="s">
        <v>342</v>
      </c>
      <c r="C96" s="263">
        <v>0</v>
      </c>
      <c r="D96" s="238">
        <v>15</v>
      </c>
      <c r="E96" s="211">
        <v>0</v>
      </c>
      <c r="F96" s="211">
        <v>0</v>
      </c>
      <c r="G96" s="211">
        <v>0</v>
      </c>
      <c r="H96" s="211">
        <v>0</v>
      </c>
      <c r="I96" s="211">
        <v>0</v>
      </c>
      <c r="J96" s="211">
        <v>0</v>
      </c>
      <c r="K96" s="262"/>
      <c r="L96" s="263"/>
      <c r="M96" s="262"/>
    </row>
    <row r="97" spans="1:13" ht="15.75">
      <c r="A97" s="210"/>
      <c r="B97" s="236" t="s">
        <v>343</v>
      </c>
      <c r="C97" s="263">
        <v>0</v>
      </c>
      <c r="D97" s="238">
        <v>100</v>
      </c>
      <c r="E97" s="211">
        <v>0</v>
      </c>
      <c r="F97" s="211">
        <v>0</v>
      </c>
      <c r="G97" s="211">
        <v>0</v>
      </c>
      <c r="H97" s="211">
        <v>0</v>
      </c>
      <c r="I97" s="211">
        <v>0</v>
      </c>
      <c r="J97" s="211">
        <v>0</v>
      </c>
      <c r="K97" s="262"/>
      <c r="L97" s="263"/>
      <c r="M97" s="262"/>
    </row>
    <row r="98" spans="1:13" ht="31.5">
      <c r="A98" s="210"/>
      <c r="B98" s="236" t="s">
        <v>344</v>
      </c>
      <c r="C98" s="263">
        <v>0</v>
      </c>
      <c r="D98" s="238">
        <v>0</v>
      </c>
      <c r="E98" s="211">
        <v>25</v>
      </c>
      <c r="F98" s="211">
        <v>27</v>
      </c>
      <c r="G98" s="211">
        <v>20</v>
      </c>
      <c r="H98" s="211">
        <v>100</v>
      </c>
      <c r="I98" s="211">
        <v>40</v>
      </c>
      <c r="J98" s="211">
        <v>23</v>
      </c>
      <c r="K98" s="262"/>
      <c r="L98" s="263"/>
      <c r="M98" s="262"/>
    </row>
    <row r="99" spans="1:13" ht="15.75">
      <c r="A99" s="210"/>
      <c r="B99" s="236" t="s">
        <v>345</v>
      </c>
      <c r="C99" s="263">
        <v>0</v>
      </c>
      <c r="D99" s="238">
        <v>100</v>
      </c>
      <c r="E99" s="211">
        <v>72</v>
      </c>
      <c r="F99" s="211">
        <v>28</v>
      </c>
      <c r="G99" s="211">
        <v>20</v>
      </c>
      <c r="H99" s="211">
        <v>30</v>
      </c>
      <c r="I99" s="211">
        <v>22</v>
      </c>
      <c r="J99" s="211">
        <v>12.5</v>
      </c>
      <c r="K99" s="262"/>
      <c r="L99" s="263"/>
      <c r="M99" s="262"/>
    </row>
    <row r="100" spans="1:13" ht="63.75" customHeight="1">
      <c r="A100" s="210"/>
      <c r="B100" s="236" t="s">
        <v>358</v>
      </c>
      <c r="C100" s="211">
        <v>0</v>
      </c>
      <c r="D100" s="239">
        <v>0</v>
      </c>
      <c r="E100" s="211">
        <v>25</v>
      </c>
      <c r="F100" s="211">
        <v>0</v>
      </c>
      <c r="G100" s="211">
        <v>30</v>
      </c>
      <c r="H100" s="211">
        <v>0</v>
      </c>
      <c r="I100" s="211">
        <v>10</v>
      </c>
      <c r="J100" s="211">
        <v>0</v>
      </c>
      <c r="K100" s="262"/>
      <c r="L100" s="211"/>
      <c r="M100" s="262"/>
    </row>
    <row r="101" spans="1:13" ht="15.75">
      <c r="A101" s="210"/>
      <c r="B101" s="236" t="s">
        <v>359</v>
      </c>
      <c r="C101" s="211">
        <v>0</v>
      </c>
      <c r="D101" s="239">
        <v>0</v>
      </c>
      <c r="E101" s="211">
        <v>0</v>
      </c>
      <c r="F101" s="211">
        <v>0</v>
      </c>
      <c r="G101" s="211">
        <v>0</v>
      </c>
      <c r="H101" s="211">
        <v>585.6</v>
      </c>
      <c r="I101" s="211">
        <v>0</v>
      </c>
      <c r="J101" s="211">
        <v>0</v>
      </c>
      <c r="K101" s="262"/>
      <c r="L101" s="211"/>
      <c r="M101" s="262"/>
    </row>
    <row r="102" spans="1:13" ht="15.75">
      <c r="A102" s="210"/>
      <c r="B102" s="236" t="s">
        <v>360</v>
      </c>
      <c r="C102" s="211">
        <v>0</v>
      </c>
      <c r="D102" s="239">
        <v>0</v>
      </c>
      <c r="E102" s="211">
        <v>50</v>
      </c>
      <c r="F102" s="211">
        <v>0</v>
      </c>
      <c r="G102" s="211">
        <v>0</v>
      </c>
      <c r="H102" s="211">
        <v>0</v>
      </c>
      <c r="I102" s="211">
        <v>0</v>
      </c>
      <c r="J102" s="211">
        <v>0</v>
      </c>
      <c r="K102" s="262"/>
      <c r="L102" s="211"/>
      <c r="M102" s="262"/>
    </row>
    <row r="103" spans="1:13" ht="15.75">
      <c r="A103" s="210"/>
      <c r="B103" s="236" t="s">
        <v>361</v>
      </c>
      <c r="C103" s="211">
        <v>0</v>
      </c>
      <c r="D103" s="239">
        <v>0</v>
      </c>
      <c r="E103" s="211">
        <v>0</v>
      </c>
      <c r="F103" s="211">
        <v>0</v>
      </c>
      <c r="G103" s="211">
        <v>5</v>
      </c>
      <c r="H103" s="211">
        <v>0</v>
      </c>
      <c r="I103" s="211">
        <v>0</v>
      </c>
      <c r="J103" s="211">
        <v>0</v>
      </c>
      <c r="K103" s="262"/>
      <c r="L103" s="211"/>
      <c r="M103" s="262"/>
    </row>
    <row r="104" spans="1:13" ht="15.75">
      <c r="A104" s="210"/>
      <c r="B104" s="236" t="s">
        <v>362</v>
      </c>
      <c r="C104" s="211">
        <v>0</v>
      </c>
      <c r="D104" s="239">
        <v>300</v>
      </c>
      <c r="E104" s="211">
        <v>402.4</v>
      </c>
      <c r="F104" s="211">
        <v>94.2</v>
      </c>
      <c r="G104" s="211">
        <v>815.2</v>
      </c>
      <c r="H104" s="211">
        <v>261.6</v>
      </c>
      <c r="I104" s="211">
        <v>177.9</v>
      </c>
      <c r="J104" s="211">
        <v>434.9</v>
      </c>
      <c r="K104" s="262"/>
      <c r="L104" s="211"/>
      <c r="M104" s="262"/>
    </row>
    <row r="105" spans="1:13" ht="15.75" hidden="1">
      <c r="A105" s="210" t="s">
        <v>111</v>
      </c>
      <c r="B105" s="39" t="s">
        <v>112</v>
      </c>
      <c r="C105" s="211"/>
      <c r="D105" s="211"/>
      <c r="E105" s="211"/>
      <c r="F105" s="211"/>
      <c r="G105" s="211"/>
      <c r="H105" s="211"/>
      <c r="I105" s="211"/>
      <c r="J105" s="211"/>
      <c r="K105" s="262">
        <f t="shared" si="13"/>
        <v>0</v>
      </c>
      <c r="L105" s="211"/>
      <c r="M105" s="262">
        <f t="shared" si="14"/>
        <v>0</v>
      </c>
    </row>
    <row r="106" spans="1:13" ht="47.25" hidden="1">
      <c r="A106" s="210" t="s">
        <v>113</v>
      </c>
      <c r="B106" s="39" t="s">
        <v>114</v>
      </c>
      <c r="C106" s="211"/>
      <c r="D106" s="211"/>
      <c r="E106" s="211"/>
      <c r="F106" s="211"/>
      <c r="G106" s="211"/>
      <c r="H106" s="211"/>
      <c r="I106" s="211"/>
      <c r="J106" s="211"/>
      <c r="K106" s="262">
        <f t="shared" si="13"/>
        <v>0</v>
      </c>
      <c r="L106" s="211"/>
      <c r="M106" s="262">
        <f t="shared" si="14"/>
        <v>0</v>
      </c>
    </row>
    <row r="107" spans="1:13" s="246" customFormat="1" ht="15.75">
      <c r="A107" s="206" t="s">
        <v>115</v>
      </c>
      <c r="B107" s="207" t="s">
        <v>217</v>
      </c>
      <c r="C107" s="208">
        <f>C112+C113+C118+C126+C130+C138</f>
        <v>492785.89999999997</v>
      </c>
      <c r="D107" s="208">
        <f aca="true" t="shared" si="16" ref="D107:J107">D112+D113+D118+D126+D130+D138</f>
        <v>0</v>
      </c>
      <c r="E107" s="208">
        <f t="shared" si="16"/>
        <v>0</v>
      </c>
      <c r="F107" s="208">
        <f t="shared" si="16"/>
        <v>0</v>
      </c>
      <c r="G107" s="208">
        <f t="shared" si="16"/>
        <v>0</v>
      </c>
      <c r="H107" s="208">
        <f t="shared" si="16"/>
        <v>0</v>
      </c>
      <c r="I107" s="208">
        <f t="shared" si="16"/>
        <v>0</v>
      </c>
      <c r="J107" s="208">
        <f t="shared" si="16"/>
        <v>0</v>
      </c>
      <c r="K107" s="264">
        <f t="shared" si="13"/>
        <v>0</v>
      </c>
      <c r="L107" s="208">
        <f>L112+L113+L118+L126+L130+L138</f>
        <v>0</v>
      </c>
      <c r="M107" s="264">
        <f t="shared" si="14"/>
        <v>492785.89999999997</v>
      </c>
    </row>
    <row r="108" spans="1:13" s="246" customFormat="1" ht="31.5" hidden="1">
      <c r="A108" s="204"/>
      <c r="B108" s="212" t="s">
        <v>116</v>
      </c>
      <c r="C108" s="213"/>
      <c r="D108" s="213"/>
      <c r="E108" s="213"/>
      <c r="F108" s="213"/>
      <c r="G108" s="213"/>
      <c r="H108" s="213"/>
      <c r="I108" s="213"/>
      <c r="J108" s="213"/>
      <c r="K108" s="260">
        <f t="shared" si="13"/>
        <v>0</v>
      </c>
      <c r="L108" s="213"/>
      <c r="M108" s="260">
        <f t="shared" si="14"/>
        <v>0</v>
      </c>
    </row>
    <row r="109" spans="1:13" s="246" customFormat="1" ht="15.75" hidden="1">
      <c r="A109" s="204"/>
      <c r="B109" s="212" t="s">
        <v>117</v>
      </c>
      <c r="C109" s="213"/>
      <c r="D109" s="213"/>
      <c r="E109" s="213"/>
      <c r="F109" s="213"/>
      <c r="G109" s="213"/>
      <c r="H109" s="213"/>
      <c r="I109" s="213"/>
      <c r="J109" s="213"/>
      <c r="K109" s="260">
        <f t="shared" si="13"/>
        <v>0</v>
      </c>
      <c r="L109" s="213"/>
      <c r="M109" s="260">
        <f t="shared" si="14"/>
        <v>0</v>
      </c>
    </row>
    <row r="110" spans="1:13" s="246" customFormat="1" ht="15.75" hidden="1">
      <c r="A110" s="204"/>
      <c r="B110" s="212" t="s">
        <v>118</v>
      </c>
      <c r="C110" s="213"/>
      <c r="D110" s="213"/>
      <c r="E110" s="213"/>
      <c r="F110" s="213"/>
      <c r="G110" s="213"/>
      <c r="H110" s="213"/>
      <c r="I110" s="213"/>
      <c r="J110" s="213"/>
      <c r="K110" s="260">
        <f t="shared" si="13"/>
        <v>0</v>
      </c>
      <c r="L110" s="213"/>
      <c r="M110" s="260">
        <f t="shared" si="14"/>
        <v>0</v>
      </c>
    </row>
    <row r="111" spans="1:13" s="246" customFormat="1" ht="15.75" hidden="1">
      <c r="A111" s="204"/>
      <c r="B111" s="212" t="s">
        <v>119</v>
      </c>
      <c r="C111" s="213"/>
      <c r="D111" s="213"/>
      <c r="E111" s="213"/>
      <c r="F111" s="213"/>
      <c r="G111" s="213"/>
      <c r="H111" s="213"/>
      <c r="I111" s="213"/>
      <c r="J111" s="213"/>
      <c r="K111" s="260">
        <f t="shared" si="13"/>
        <v>0</v>
      </c>
      <c r="L111" s="213"/>
      <c r="M111" s="260">
        <f t="shared" si="14"/>
        <v>0</v>
      </c>
    </row>
    <row r="112" spans="1:13" s="246" customFormat="1" ht="15.75">
      <c r="A112" s="204" t="s">
        <v>120</v>
      </c>
      <c r="B112" s="212" t="s">
        <v>9</v>
      </c>
      <c r="C112" s="213">
        <v>147916.5</v>
      </c>
      <c r="D112" s="213">
        <v>0</v>
      </c>
      <c r="E112" s="213">
        <v>0</v>
      </c>
      <c r="F112" s="213">
        <v>0</v>
      </c>
      <c r="G112" s="213">
        <v>0</v>
      </c>
      <c r="H112" s="213">
        <v>0</v>
      </c>
      <c r="I112" s="213">
        <v>0</v>
      </c>
      <c r="J112" s="213">
        <v>0</v>
      </c>
      <c r="K112" s="260">
        <f t="shared" si="13"/>
        <v>0</v>
      </c>
      <c r="L112" s="213"/>
      <c r="M112" s="260">
        <f t="shared" si="14"/>
        <v>147916.5</v>
      </c>
    </row>
    <row r="113" spans="1:13" s="246" customFormat="1" ht="15.75">
      <c r="A113" s="204" t="s">
        <v>121</v>
      </c>
      <c r="B113" s="212" t="s">
        <v>1</v>
      </c>
      <c r="C113" s="213">
        <f>C115</f>
        <v>290821.6</v>
      </c>
      <c r="D113" s="213">
        <f aca="true" t="shared" si="17" ref="D113:J113">D115</f>
        <v>0</v>
      </c>
      <c r="E113" s="213">
        <f t="shared" si="17"/>
        <v>0</v>
      </c>
      <c r="F113" s="213">
        <f t="shared" si="17"/>
        <v>0</v>
      </c>
      <c r="G113" s="213">
        <f t="shared" si="17"/>
        <v>0</v>
      </c>
      <c r="H113" s="213">
        <f t="shared" si="17"/>
        <v>0</v>
      </c>
      <c r="I113" s="213">
        <f t="shared" si="17"/>
        <v>0</v>
      </c>
      <c r="J113" s="213">
        <f t="shared" si="17"/>
        <v>0</v>
      </c>
      <c r="K113" s="260">
        <f t="shared" si="13"/>
        <v>0</v>
      </c>
      <c r="L113" s="213">
        <f>L115</f>
        <v>0</v>
      </c>
      <c r="M113" s="260">
        <f t="shared" si="14"/>
        <v>290821.6</v>
      </c>
    </row>
    <row r="114" spans="1:13" s="246" customFormat="1" ht="15.75" hidden="1">
      <c r="A114" s="204"/>
      <c r="B114" s="212" t="s">
        <v>122</v>
      </c>
      <c r="C114" s="213"/>
      <c r="D114" s="213"/>
      <c r="E114" s="213"/>
      <c r="F114" s="213"/>
      <c r="G114" s="213"/>
      <c r="H114" s="213"/>
      <c r="I114" s="213"/>
      <c r="J114" s="213"/>
      <c r="K114" s="260">
        <f t="shared" si="13"/>
        <v>0</v>
      </c>
      <c r="L114" s="213"/>
      <c r="M114" s="260">
        <f t="shared" si="14"/>
        <v>0</v>
      </c>
    </row>
    <row r="115" spans="1:13" s="246" customFormat="1" ht="15.75" hidden="1">
      <c r="A115" s="204" t="s">
        <v>121</v>
      </c>
      <c r="B115" s="212" t="s">
        <v>306</v>
      </c>
      <c r="C115" s="213">
        <v>290821.6</v>
      </c>
      <c r="D115" s="213">
        <v>0</v>
      </c>
      <c r="E115" s="213">
        <v>0</v>
      </c>
      <c r="F115" s="213">
        <v>0</v>
      </c>
      <c r="G115" s="213">
        <v>0</v>
      </c>
      <c r="H115" s="213">
        <v>0</v>
      </c>
      <c r="I115" s="213">
        <v>0</v>
      </c>
      <c r="J115" s="213">
        <v>0</v>
      </c>
      <c r="K115" s="260">
        <f t="shared" si="13"/>
        <v>0</v>
      </c>
      <c r="L115" s="213"/>
      <c r="M115" s="260">
        <f t="shared" si="14"/>
        <v>290821.6</v>
      </c>
    </row>
    <row r="116" spans="1:13" s="246" customFormat="1" ht="15.75" hidden="1">
      <c r="A116" s="204"/>
      <c r="B116" s="212" t="s">
        <v>188</v>
      </c>
      <c r="C116" s="213"/>
      <c r="D116" s="213"/>
      <c r="E116" s="213"/>
      <c r="F116" s="213"/>
      <c r="G116" s="213"/>
      <c r="H116" s="213"/>
      <c r="I116" s="213"/>
      <c r="J116" s="213"/>
      <c r="K116" s="260">
        <f t="shared" si="13"/>
        <v>0</v>
      </c>
      <c r="L116" s="213"/>
      <c r="M116" s="260">
        <f t="shared" si="14"/>
        <v>0</v>
      </c>
    </row>
    <row r="117" spans="1:13" s="246" customFormat="1" ht="15.75" hidden="1">
      <c r="A117" s="204"/>
      <c r="B117" s="212"/>
      <c r="C117" s="213"/>
      <c r="D117" s="213"/>
      <c r="E117" s="213"/>
      <c r="F117" s="213"/>
      <c r="G117" s="213"/>
      <c r="H117" s="213"/>
      <c r="I117" s="213"/>
      <c r="J117" s="213"/>
      <c r="K117" s="260">
        <f t="shared" si="13"/>
        <v>0</v>
      </c>
      <c r="L117" s="213"/>
      <c r="M117" s="260">
        <f t="shared" si="14"/>
        <v>0</v>
      </c>
    </row>
    <row r="118" spans="1:13" s="246" customFormat="1" ht="31.5">
      <c r="A118" s="204" t="s">
        <v>236</v>
      </c>
      <c r="B118" s="212" t="s">
        <v>263</v>
      </c>
      <c r="C118" s="213">
        <f>C119+C121+C122</f>
        <v>26993.7</v>
      </c>
      <c r="D118" s="213">
        <f aca="true" t="shared" si="18" ref="D118:J118">D119+D121+D122</f>
        <v>0</v>
      </c>
      <c r="E118" s="213">
        <f t="shared" si="18"/>
        <v>0</v>
      </c>
      <c r="F118" s="213">
        <f t="shared" si="18"/>
        <v>0</v>
      </c>
      <c r="G118" s="213">
        <f t="shared" si="18"/>
        <v>0</v>
      </c>
      <c r="H118" s="213">
        <f t="shared" si="18"/>
        <v>0</v>
      </c>
      <c r="I118" s="213">
        <f t="shared" si="18"/>
        <v>0</v>
      </c>
      <c r="J118" s="213">
        <f t="shared" si="18"/>
        <v>0</v>
      </c>
      <c r="K118" s="260">
        <f t="shared" si="13"/>
        <v>0</v>
      </c>
      <c r="L118" s="213">
        <f>L119+L121+L122</f>
        <v>0</v>
      </c>
      <c r="M118" s="260">
        <f t="shared" si="14"/>
        <v>26993.7</v>
      </c>
    </row>
    <row r="119" spans="1:13" ht="31.5">
      <c r="A119" s="210" t="s">
        <v>236</v>
      </c>
      <c r="B119" s="39" t="s">
        <v>307</v>
      </c>
      <c r="C119" s="211">
        <v>14399</v>
      </c>
      <c r="D119" s="211">
        <v>0</v>
      </c>
      <c r="E119" s="211">
        <v>0</v>
      </c>
      <c r="F119" s="211">
        <v>0</v>
      </c>
      <c r="G119" s="211">
        <v>0</v>
      </c>
      <c r="H119" s="211">
        <v>0</v>
      </c>
      <c r="I119" s="211">
        <v>0</v>
      </c>
      <c r="J119" s="211">
        <v>0</v>
      </c>
      <c r="K119" s="262">
        <f t="shared" si="13"/>
        <v>0</v>
      </c>
      <c r="L119" s="211"/>
      <c r="M119" s="262">
        <f t="shared" si="14"/>
        <v>14399</v>
      </c>
    </row>
    <row r="120" spans="1:13" ht="15.75" hidden="1">
      <c r="A120" s="210"/>
      <c r="B120" s="39" t="s">
        <v>188</v>
      </c>
      <c r="C120" s="211"/>
      <c r="D120" s="211"/>
      <c r="E120" s="211"/>
      <c r="F120" s="211"/>
      <c r="G120" s="211"/>
      <c r="H120" s="211"/>
      <c r="I120" s="211"/>
      <c r="J120" s="211"/>
      <c r="K120" s="262">
        <f t="shared" si="13"/>
        <v>0</v>
      </c>
      <c r="L120" s="211"/>
      <c r="M120" s="262">
        <f t="shared" si="14"/>
        <v>0</v>
      </c>
    </row>
    <row r="121" spans="1:13" ht="15.75">
      <c r="A121" s="210" t="s">
        <v>236</v>
      </c>
      <c r="B121" s="39" t="s">
        <v>123</v>
      </c>
      <c r="C121" s="211">
        <v>0</v>
      </c>
      <c r="D121" s="211">
        <v>0</v>
      </c>
      <c r="E121" s="211">
        <v>0</v>
      </c>
      <c r="F121" s="211">
        <v>0</v>
      </c>
      <c r="G121" s="211">
        <v>0</v>
      </c>
      <c r="H121" s="211">
        <v>0</v>
      </c>
      <c r="I121" s="211">
        <v>0</v>
      </c>
      <c r="J121" s="211">
        <v>0</v>
      </c>
      <c r="K121" s="262">
        <f t="shared" si="13"/>
        <v>0</v>
      </c>
      <c r="L121" s="211"/>
      <c r="M121" s="262">
        <f t="shared" si="14"/>
        <v>0</v>
      </c>
    </row>
    <row r="122" spans="1:13" ht="15.75">
      <c r="A122" s="210" t="s">
        <v>236</v>
      </c>
      <c r="B122" s="39" t="s">
        <v>308</v>
      </c>
      <c r="C122" s="211">
        <v>12594.7</v>
      </c>
      <c r="D122" s="211">
        <v>0</v>
      </c>
      <c r="E122" s="211">
        <v>0</v>
      </c>
      <c r="F122" s="211">
        <v>0</v>
      </c>
      <c r="G122" s="211">
        <v>0</v>
      </c>
      <c r="H122" s="211">
        <v>0</v>
      </c>
      <c r="I122" s="211">
        <v>0</v>
      </c>
      <c r="J122" s="211">
        <v>0</v>
      </c>
      <c r="K122" s="262">
        <f t="shared" si="13"/>
        <v>0</v>
      </c>
      <c r="L122" s="211"/>
      <c r="M122" s="262">
        <f t="shared" si="14"/>
        <v>12594.7</v>
      </c>
    </row>
    <row r="123" spans="1:13" ht="15.75" hidden="1">
      <c r="A123" s="210"/>
      <c r="B123" s="39" t="s">
        <v>188</v>
      </c>
      <c r="C123" s="211"/>
      <c r="D123" s="211"/>
      <c r="E123" s="211"/>
      <c r="F123" s="211"/>
      <c r="G123" s="211"/>
      <c r="H123" s="211"/>
      <c r="I123" s="211"/>
      <c r="J123" s="211"/>
      <c r="K123" s="262">
        <f t="shared" si="13"/>
        <v>0</v>
      </c>
      <c r="L123" s="211"/>
      <c r="M123" s="262">
        <f t="shared" si="14"/>
        <v>0</v>
      </c>
    </row>
    <row r="124" spans="1:13" ht="15.75" hidden="1">
      <c r="A124" s="210"/>
      <c r="B124" s="39"/>
      <c r="C124" s="211"/>
      <c r="D124" s="211"/>
      <c r="E124" s="211"/>
      <c r="F124" s="211"/>
      <c r="G124" s="211"/>
      <c r="H124" s="211"/>
      <c r="I124" s="211"/>
      <c r="J124" s="211"/>
      <c r="K124" s="262">
        <f t="shared" si="13"/>
        <v>0</v>
      </c>
      <c r="L124" s="211"/>
      <c r="M124" s="262">
        <f t="shared" si="14"/>
        <v>0</v>
      </c>
    </row>
    <row r="125" spans="1:13" ht="78.75" hidden="1">
      <c r="A125" s="210"/>
      <c r="B125" s="39" t="s">
        <v>124</v>
      </c>
      <c r="C125" s="211">
        <v>0</v>
      </c>
      <c r="D125" s="211">
        <v>0</v>
      </c>
      <c r="E125" s="211">
        <v>0</v>
      </c>
      <c r="F125" s="211">
        <v>0</v>
      </c>
      <c r="G125" s="211">
        <v>0</v>
      </c>
      <c r="H125" s="211">
        <v>0</v>
      </c>
      <c r="I125" s="211">
        <v>0</v>
      </c>
      <c r="J125" s="211">
        <v>0</v>
      </c>
      <c r="K125" s="262">
        <f t="shared" si="13"/>
        <v>0</v>
      </c>
      <c r="L125" s="211">
        <v>0</v>
      </c>
      <c r="M125" s="262">
        <f t="shared" si="14"/>
        <v>0</v>
      </c>
    </row>
    <row r="126" spans="1:13" ht="15.75" hidden="1">
      <c r="A126" s="210" t="s">
        <v>125</v>
      </c>
      <c r="B126" s="39" t="s">
        <v>126</v>
      </c>
      <c r="C126" s="211">
        <v>0</v>
      </c>
      <c r="D126" s="211">
        <v>0</v>
      </c>
      <c r="E126" s="211">
        <v>0</v>
      </c>
      <c r="F126" s="211">
        <v>0</v>
      </c>
      <c r="G126" s="211">
        <v>0</v>
      </c>
      <c r="H126" s="211">
        <v>0</v>
      </c>
      <c r="I126" s="211">
        <v>0</v>
      </c>
      <c r="J126" s="211">
        <v>0</v>
      </c>
      <c r="K126" s="262">
        <f t="shared" si="13"/>
        <v>0</v>
      </c>
      <c r="L126" s="211">
        <v>0</v>
      </c>
      <c r="M126" s="262">
        <f t="shared" si="14"/>
        <v>0</v>
      </c>
    </row>
    <row r="127" spans="1:13" ht="15.75" hidden="1">
      <c r="A127" s="210"/>
      <c r="B127" s="39" t="s">
        <v>122</v>
      </c>
      <c r="C127" s="211"/>
      <c r="D127" s="211"/>
      <c r="E127" s="211"/>
      <c r="F127" s="211"/>
      <c r="G127" s="211"/>
      <c r="H127" s="211"/>
      <c r="I127" s="211"/>
      <c r="J127" s="211"/>
      <c r="K127" s="262">
        <f t="shared" si="13"/>
        <v>0</v>
      </c>
      <c r="L127" s="211"/>
      <c r="M127" s="262">
        <f t="shared" si="14"/>
        <v>0</v>
      </c>
    </row>
    <row r="128" spans="1:13" ht="15.75" hidden="1">
      <c r="A128" s="210"/>
      <c r="B128" s="39" t="s">
        <v>127</v>
      </c>
      <c r="C128" s="211"/>
      <c r="D128" s="211"/>
      <c r="E128" s="211"/>
      <c r="F128" s="211"/>
      <c r="G128" s="211"/>
      <c r="H128" s="211"/>
      <c r="I128" s="211"/>
      <c r="J128" s="211"/>
      <c r="K128" s="262">
        <f t="shared" si="13"/>
        <v>0</v>
      </c>
      <c r="L128" s="211"/>
      <c r="M128" s="262">
        <f t="shared" si="14"/>
        <v>0</v>
      </c>
    </row>
    <row r="129" spans="1:13" ht="15.75" hidden="1">
      <c r="A129" s="210"/>
      <c r="B129" s="39" t="s">
        <v>128</v>
      </c>
      <c r="C129" s="211"/>
      <c r="D129" s="211"/>
      <c r="E129" s="211"/>
      <c r="F129" s="211"/>
      <c r="G129" s="211"/>
      <c r="H129" s="211"/>
      <c r="I129" s="211"/>
      <c r="J129" s="211"/>
      <c r="K129" s="262">
        <f t="shared" si="13"/>
        <v>0</v>
      </c>
      <c r="L129" s="211"/>
      <c r="M129" s="262">
        <f t="shared" si="14"/>
        <v>0</v>
      </c>
    </row>
    <row r="130" spans="1:13" s="246" customFormat="1" ht="31.5">
      <c r="A130" s="204" t="s">
        <v>129</v>
      </c>
      <c r="B130" s="212" t="s">
        <v>264</v>
      </c>
      <c r="C130" s="213">
        <f>SUM(C132:C137)</f>
        <v>4153.3</v>
      </c>
      <c r="D130" s="213">
        <f aca="true" t="shared" si="19" ref="D130:J130">SUM(D132:D137)</f>
        <v>0</v>
      </c>
      <c r="E130" s="213">
        <f t="shared" si="19"/>
        <v>0</v>
      </c>
      <c r="F130" s="213">
        <f t="shared" si="19"/>
        <v>0</v>
      </c>
      <c r="G130" s="213">
        <f t="shared" si="19"/>
        <v>0</v>
      </c>
      <c r="H130" s="213">
        <f t="shared" si="19"/>
        <v>0</v>
      </c>
      <c r="I130" s="213">
        <f t="shared" si="19"/>
        <v>0</v>
      </c>
      <c r="J130" s="213">
        <f t="shared" si="19"/>
        <v>0</v>
      </c>
      <c r="K130" s="260">
        <f t="shared" si="13"/>
        <v>0</v>
      </c>
      <c r="L130" s="213">
        <f>SUM(L132:L137)</f>
        <v>0</v>
      </c>
      <c r="M130" s="260">
        <f t="shared" si="14"/>
        <v>4153.3</v>
      </c>
    </row>
    <row r="131" spans="1:13" ht="15.75" hidden="1">
      <c r="A131" s="210"/>
      <c r="B131" s="39" t="s">
        <v>122</v>
      </c>
      <c r="C131" s="211"/>
      <c r="D131" s="211"/>
      <c r="E131" s="211"/>
      <c r="F131" s="211"/>
      <c r="G131" s="211"/>
      <c r="H131" s="211"/>
      <c r="I131" s="211"/>
      <c r="J131" s="211"/>
      <c r="K131" s="262">
        <f t="shared" si="13"/>
        <v>0</v>
      </c>
      <c r="L131" s="211"/>
      <c r="M131" s="262">
        <f t="shared" si="14"/>
        <v>0</v>
      </c>
    </row>
    <row r="132" spans="1:13" ht="47.25">
      <c r="A132" s="210"/>
      <c r="B132" s="220" t="s">
        <v>309</v>
      </c>
      <c r="C132" s="222">
        <v>2437.4</v>
      </c>
      <c r="D132" s="222">
        <v>0</v>
      </c>
      <c r="E132" s="222">
        <v>0</v>
      </c>
      <c r="F132" s="222">
        <v>0</v>
      </c>
      <c r="G132" s="222">
        <v>0</v>
      </c>
      <c r="H132" s="222">
        <v>0</v>
      </c>
      <c r="I132" s="222">
        <v>0</v>
      </c>
      <c r="J132" s="222">
        <v>0</v>
      </c>
      <c r="K132" s="262">
        <f t="shared" si="13"/>
        <v>0</v>
      </c>
      <c r="L132" s="222"/>
      <c r="M132" s="262">
        <f t="shared" si="14"/>
        <v>2437.4</v>
      </c>
    </row>
    <row r="133" spans="1:13" ht="47.25">
      <c r="A133" s="210"/>
      <c r="B133" s="39" t="s">
        <v>130</v>
      </c>
      <c r="C133" s="211">
        <v>295.9</v>
      </c>
      <c r="D133" s="211">
        <v>0</v>
      </c>
      <c r="E133" s="211">
        <v>0</v>
      </c>
      <c r="F133" s="211">
        <v>0</v>
      </c>
      <c r="G133" s="211">
        <v>0</v>
      </c>
      <c r="H133" s="211">
        <v>0</v>
      </c>
      <c r="I133" s="211">
        <v>0</v>
      </c>
      <c r="J133" s="211">
        <v>0</v>
      </c>
      <c r="K133" s="262">
        <f t="shared" si="13"/>
        <v>0</v>
      </c>
      <c r="L133" s="211"/>
      <c r="M133" s="262">
        <f t="shared" si="14"/>
        <v>295.9</v>
      </c>
    </row>
    <row r="134" spans="1:13" ht="31.5">
      <c r="A134" s="210"/>
      <c r="B134" s="220" t="s">
        <v>310</v>
      </c>
      <c r="C134" s="211">
        <v>18</v>
      </c>
      <c r="D134" s="211">
        <v>0</v>
      </c>
      <c r="E134" s="211">
        <v>0</v>
      </c>
      <c r="F134" s="211">
        <v>0</v>
      </c>
      <c r="G134" s="211">
        <v>0</v>
      </c>
      <c r="H134" s="211">
        <v>0</v>
      </c>
      <c r="I134" s="211">
        <v>0</v>
      </c>
      <c r="J134" s="211">
        <v>0</v>
      </c>
      <c r="K134" s="262">
        <f t="shared" si="13"/>
        <v>0</v>
      </c>
      <c r="L134" s="211"/>
      <c r="M134" s="262">
        <f t="shared" si="14"/>
        <v>18</v>
      </c>
    </row>
    <row r="135" spans="1:13" ht="63">
      <c r="A135" s="210"/>
      <c r="B135" s="220" t="s">
        <v>311</v>
      </c>
      <c r="C135" s="211">
        <v>1208</v>
      </c>
      <c r="D135" s="211">
        <v>0</v>
      </c>
      <c r="E135" s="211">
        <v>0</v>
      </c>
      <c r="F135" s="211">
        <v>0</v>
      </c>
      <c r="G135" s="211">
        <v>0</v>
      </c>
      <c r="H135" s="211">
        <v>0</v>
      </c>
      <c r="I135" s="211">
        <v>0</v>
      </c>
      <c r="J135" s="211">
        <v>0</v>
      </c>
      <c r="K135" s="262">
        <f t="shared" si="13"/>
        <v>0</v>
      </c>
      <c r="L135" s="211"/>
      <c r="M135" s="262">
        <f t="shared" si="14"/>
        <v>1208</v>
      </c>
    </row>
    <row r="136" spans="1:13" ht="63">
      <c r="A136" s="210"/>
      <c r="B136" s="220" t="s">
        <v>312</v>
      </c>
      <c r="C136" s="211">
        <f>114</f>
        <v>114</v>
      </c>
      <c r="D136" s="211">
        <v>0</v>
      </c>
      <c r="E136" s="211">
        <v>0</v>
      </c>
      <c r="F136" s="211">
        <v>0</v>
      </c>
      <c r="G136" s="211">
        <v>0</v>
      </c>
      <c r="H136" s="211">
        <v>0</v>
      </c>
      <c r="I136" s="211">
        <v>0</v>
      </c>
      <c r="J136" s="211">
        <v>0</v>
      </c>
      <c r="K136" s="262">
        <f t="shared" si="13"/>
        <v>0</v>
      </c>
      <c r="L136" s="211"/>
      <c r="M136" s="262">
        <f t="shared" si="14"/>
        <v>114</v>
      </c>
    </row>
    <row r="137" spans="1:13" ht="47.25">
      <c r="A137" s="210"/>
      <c r="B137" s="220" t="s">
        <v>313</v>
      </c>
      <c r="C137" s="211">
        <f>30+50</f>
        <v>80</v>
      </c>
      <c r="D137" s="211">
        <v>0</v>
      </c>
      <c r="E137" s="211">
        <v>0</v>
      </c>
      <c r="F137" s="211">
        <v>0</v>
      </c>
      <c r="G137" s="211">
        <v>0</v>
      </c>
      <c r="H137" s="211">
        <v>0</v>
      </c>
      <c r="I137" s="211">
        <v>0</v>
      </c>
      <c r="J137" s="211">
        <v>0</v>
      </c>
      <c r="K137" s="262">
        <f t="shared" si="13"/>
        <v>0</v>
      </c>
      <c r="L137" s="211"/>
      <c r="M137" s="262">
        <f t="shared" si="14"/>
        <v>80</v>
      </c>
    </row>
    <row r="138" spans="1:13" s="246" customFormat="1" ht="31.5">
      <c r="A138" s="204" t="s">
        <v>131</v>
      </c>
      <c r="B138" s="212" t="s">
        <v>314</v>
      </c>
      <c r="C138" s="213">
        <f>C140+C141+C142</f>
        <v>22900.8</v>
      </c>
      <c r="D138" s="213">
        <f aca="true" t="shared" si="20" ref="D138:J138">D140+D141+D142</f>
        <v>0</v>
      </c>
      <c r="E138" s="213">
        <f t="shared" si="20"/>
        <v>0</v>
      </c>
      <c r="F138" s="213">
        <f t="shared" si="20"/>
        <v>0</v>
      </c>
      <c r="G138" s="213">
        <f t="shared" si="20"/>
        <v>0</v>
      </c>
      <c r="H138" s="213">
        <f t="shared" si="20"/>
        <v>0</v>
      </c>
      <c r="I138" s="213">
        <f t="shared" si="20"/>
        <v>0</v>
      </c>
      <c r="J138" s="213">
        <f t="shared" si="20"/>
        <v>0</v>
      </c>
      <c r="K138" s="260">
        <f aca="true" t="shared" si="21" ref="K138:K199">SUM(D138:J138)</f>
        <v>0</v>
      </c>
      <c r="L138" s="213">
        <f>L140+L141+L142</f>
        <v>0</v>
      </c>
      <c r="M138" s="260">
        <f aca="true" t="shared" si="22" ref="M138:M199">K138+C138-L138</f>
        <v>22900.8</v>
      </c>
    </row>
    <row r="139" spans="1:13" ht="15.75" hidden="1">
      <c r="A139" s="210"/>
      <c r="B139" s="39" t="s">
        <v>122</v>
      </c>
      <c r="C139" s="211"/>
      <c r="D139" s="211"/>
      <c r="E139" s="211"/>
      <c r="F139" s="211"/>
      <c r="G139" s="211"/>
      <c r="H139" s="211"/>
      <c r="I139" s="211"/>
      <c r="J139" s="211"/>
      <c r="K139" s="262">
        <f t="shared" si="21"/>
        <v>0</v>
      </c>
      <c r="L139" s="211"/>
      <c r="M139" s="262">
        <f t="shared" si="22"/>
        <v>0</v>
      </c>
    </row>
    <row r="140" spans="1:13" ht="15.75">
      <c r="A140" s="210"/>
      <c r="B140" s="39" t="s">
        <v>132</v>
      </c>
      <c r="C140" s="222">
        <v>2392.7</v>
      </c>
      <c r="D140" s="222">
        <v>0</v>
      </c>
      <c r="E140" s="222">
        <v>0</v>
      </c>
      <c r="F140" s="222">
        <v>0</v>
      </c>
      <c r="G140" s="222">
        <v>0</v>
      </c>
      <c r="H140" s="222">
        <v>0</v>
      </c>
      <c r="I140" s="222">
        <v>0</v>
      </c>
      <c r="J140" s="222">
        <v>0</v>
      </c>
      <c r="K140" s="262">
        <f t="shared" si="21"/>
        <v>0</v>
      </c>
      <c r="L140" s="222"/>
      <c r="M140" s="262">
        <f t="shared" si="22"/>
        <v>2392.7</v>
      </c>
    </row>
    <row r="141" spans="1:13" ht="47.25">
      <c r="A141" s="210"/>
      <c r="B141" s="39" t="s">
        <v>133</v>
      </c>
      <c r="C141" s="211">
        <v>19858.1</v>
      </c>
      <c r="D141" s="211">
        <v>0</v>
      </c>
      <c r="E141" s="211">
        <v>0</v>
      </c>
      <c r="F141" s="211">
        <v>0</v>
      </c>
      <c r="G141" s="211">
        <v>0</v>
      </c>
      <c r="H141" s="211">
        <v>0</v>
      </c>
      <c r="I141" s="211">
        <v>0</v>
      </c>
      <c r="J141" s="211">
        <v>0</v>
      </c>
      <c r="K141" s="262">
        <f t="shared" si="21"/>
        <v>0</v>
      </c>
      <c r="L141" s="211"/>
      <c r="M141" s="262">
        <f t="shared" si="22"/>
        <v>19858.1</v>
      </c>
    </row>
    <row r="142" spans="1:13" ht="63">
      <c r="A142" s="210"/>
      <c r="B142" s="39" t="s">
        <v>265</v>
      </c>
      <c r="C142" s="211">
        <f>1253.3-603.3</f>
        <v>650</v>
      </c>
      <c r="D142" s="211">
        <v>0</v>
      </c>
      <c r="E142" s="211">
        <v>0</v>
      </c>
      <c r="F142" s="211">
        <v>0</v>
      </c>
      <c r="G142" s="211">
        <v>0</v>
      </c>
      <c r="H142" s="211">
        <v>0</v>
      </c>
      <c r="I142" s="211">
        <v>0</v>
      </c>
      <c r="J142" s="211">
        <v>0</v>
      </c>
      <c r="K142" s="262">
        <f t="shared" si="21"/>
        <v>0</v>
      </c>
      <c r="L142" s="211"/>
      <c r="M142" s="262">
        <f t="shared" si="22"/>
        <v>650</v>
      </c>
    </row>
    <row r="143" spans="1:13" ht="47.25" hidden="1">
      <c r="A143" s="210"/>
      <c r="B143" s="39" t="s">
        <v>134</v>
      </c>
      <c r="C143" s="211">
        <f>0</f>
        <v>0</v>
      </c>
      <c r="D143" s="211">
        <f>0</f>
        <v>0</v>
      </c>
      <c r="E143" s="211">
        <v>0</v>
      </c>
      <c r="F143" s="211">
        <f>0</f>
        <v>0</v>
      </c>
      <c r="G143" s="211">
        <f>0</f>
        <v>0</v>
      </c>
      <c r="H143" s="211">
        <f>0</f>
        <v>0</v>
      </c>
      <c r="I143" s="211">
        <f>0</f>
        <v>0</v>
      </c>
      <c r="J143" s="211">
        <f>0</f>
        <v>0</v>
      </c>
      <c r="K143" s="262">
        <f t="shared" si="21"/>
        <v>0</v>
      </c>
      <c r="L143" s="211">
        <f>0</f>
        <v>0</v>
      </c>
      <c r="M143" s="262">
        <f t="shared" si="22"/>
        <v>0</v>
      </c>
    </row>
    <row r="144" spans="1:13" s="246" customFormat="1" ht="15.75">
      <c r="A144" s="206" t="s">
        <v>135</v>
      </c>
      <c r="B144" s="207" t="s">
        <v>315</v>
      </c>
      <c r="C144" s="208">
        <f>C145+C151</f>
        <v>86809.2</v>
      </c>
      <c r="D144" s="208">
        <f aca="true" t="shared" si="23" ref="D144:J144">D145+D151</f>
        <v>0</v>
      </c>
      <c r="E144" s="208">
        <f t="shared" si="23"/>
        <v>0</v>
      </c>
      <c r="F144" s="208">
        <f t="shared" si="23"/>
        <v>0</v>
      </c>
      <c r="G144" s="208">
        <f t="shared" si="23"/>
        <v>0</v>
      </c>
      <c r="H144" s="208">
        <f t="shared" si="23"/>
        <v>0</v>
      </c>
      <c r="I144" s="208">
        <f t="shared" si="23"/>
        <v>0</v>
      </c>
      <c r="J144" s="208">
        <f t="shared" si="23"/>
        <v>0</v>
      </c>
      <c r="K144" s="264">
        <f t="shared" si="21"/>
        <v>0</v>
      </c>
      <c r="L144" s="208">
        <f>L145+L151</f>
        <v>0</v>
      </c>
      <c r="M144" s="264">
        <f t="shared" si="22"/>
        <v>86809.2</v>
      </c>
    </row>
    <row r="145" spans="1:13" s="246" customFormat="1" ht="15.75">
      <c r="A145" s="204" t="s">
        <v>136</v>
      </c>
      <c r="B145" s="212" t="s">
        <v>266</v>
      </c>
      <c r="C145" s="213">
        <f>C147</f>
        <v>71358.7</v>
      </c>
      <c r="D145" s="213">
        <f aca="true" t="shared" si="24" ref="D145:J145">D147</f>
        <v>0</v>
      </c>
      <c r="E145" s="213">
        <f t="shared" si="24"/>
        <v>0</v>
      </c>
      <c r="F145" s="213">
        <f t="shared" si="24"/>
        <v>0</v>
      </c>
      <c r="G145" s="213">
        <f t="shared" si="24"/>
        <v>0</v>
      </c>
      <c r="H145" s="213">
        <f t="shared" si="24"/>
        <v>0</v>
      </c>
      <c r="I145" s="213">
        <f t="shared" si="24"/>
        <v>0</v>
      </c>
      <c r="J145" s="213">
        <f t="shared" si="24"/>
        <v>0</v>
      </c>
      <c r="K145" s="260">
        <f t="shared" si="21"/>
        <v>0</v>
      </c>
      <c r="L145" s="213">
        <f>L147</f>
        <v>0</v>
      </c>
      <c r="M145" s="260">
        <f t="shared" si="22"/>
        <v>71358.7</v>
      </c>
    </row>
    <row r="146" spans="1:13" ht="15.75" hidden="1">
      <c r="A146" s="210"/>
      <c r="B146" s="39" t="s">
        <v>84</v>
      </c>
      <c r="C146" s="211"/>
      <c r="D146" s="211"/>
      <c r="E146" s="211"/>
      <c r="F146" s="211"/>
      <c r="G146" s="211"/>
      <c r="H146" s="211"/>
      <c r="I146" s="211"/>
      <c r="J146" s="211"/>
      <c r="K146" s="262">
        <f t="shared" si="21"/>
        <v>0</v>
      </c>
      <c r="L146" s="211"/>
      <c r="M146" s="262">
        <f t="shared" si="22"/>
        <v>0</v>
      </c>
    </row>
    <row r="147" spans="1:13" ht="31.5">
      <c r="A147" s="210"/>
      <c r="B147" s="41" t="s">
        <v>316</v>
      </c>
      <c r="C147" s="211">
        <v>71358.7</v>
      </c>
      <c r="D147" s="211">
        <v>0</v>
      </c>
      <c r="E147" s="211">
        <v>0</v>
      </c>
      <c r="F147" s="211">
        <v>0</v>
      </c>
      <c r="G147" s="211">
        <v>0</v>
      </c>
      <c r="H147" s="211">
        <v>0</v>
      </c>
      <c r="I147" s="211">
        <v>0</v>
      </c>
      <c r="J147" s="211">
        <v>0</v>
      </c>
      <c r="K147" s="262">
        <f t="shared" si="21"/>
        <v>0</v>
      </c>
      <c r="L147" s="211"/>
      <c r="M147" s="262">
        <f t="shared" si="22"/>
        <v>71358.7</v>
      </c>
    </row>
    <row r="148" spans="1:13" ht="15.75" hidden="1">
      <c r="A148" s="210"/>
      <c r="B148" s="39" t="s">
        <v>188</v>
      </c>
      <c r="C148" s="211"/>
      <c r="D148" s="211"/>
      <c r="E148" s="211"/>
      <c r="F148" s="211"/>
      <c r="G148" s="211"/>
      <c r="H148" s="211"/>
      <c r="I148" s="211"/>
      <c r="J148" s="211"/>
      <c r="K148" s="262">
        <f t="shared" si="21"/>
        <v>0</v>
      </c>
      <c r="L148" s="211"/>
      <c r="M148" s="262">
        <f t="shared" si="22"/>
        <v>0</v>
      </c>
    </row>
    <row r="149" spans="1:13" ht="15.75" hidden="1">
      <c r="A149" s="210"/>
      <c r="B149" s="41"/>
      <c r="C149" s="211">
        <v>0</v>
      </c>
      <c r="D149" s="211">
        <v>0</v>
      </c>
      <c r="E149" s="211">
        <v>0</v>
      </c>
      <c r="F149" s="211">
        <v>0</v>
      </c>
      <c r="G149" s="211">
        <v>0</v>
      </c>
      <c r="H149" s="211">
        <v>0</v>
      </c>
      <c r="I149" s="211">
        <v>0</v>
      </c>
      <c r="J149" s="211">
        <v>0</v>
      </c>
      <c r="K149" s="262">
        <f t="shared" si="21"/>
        <v>0</v>
      </c>
      <c r="L149" s="211">
        <v>0</v>
      </c>
      <c r="M149" s="262">
        <f t="shared" si="22"/>
        <v>0</v>
      </c>
    </row>
    <row r="150" spans="1:13" ht="15.75" hidden="1">
      <c r="A150" s="210"/>
      <c r="B150" s="41" t="s">
        <v>137</v>
      </c>
      <c r="C150" s="211"/>
      <c r="D150" s="211"/>
      <c r="E150" s="211"/>
      <c r="F150" s="211"/>
      <c r="G150" s="211"/>
      <c r="H150" s="211"/>
      <c r="I150" s="211"/>
      <c r="J150" s="211"/>
      <c r="K150" s="262">
        <f t="shared" si="21"/>
        <v>0</v>
      </c>
      <c r="L150" s="211"/>
      <c r="M150" s="262">
        <f t="shared" si="22"/>
        <v>0</v>
      </c>
    </row>
    <row r="151" spans="1:13" s="246" customFormat="1" ht="31.5">
      <c r="A151" s="204" t="s">
        <v>138</v>
      </c>
      <c r="B151" s="212" t="s">
        <v>317</v>
      </c>
      <c r="C151" s="213">
        <f>C153+C154+C155</f>
        <v>15450.5</v>
      </c>
      <c r="D151" s="213">
        <f aca="true" t="shared" si="25" ref="D151:J151">D153+D154+D155</f>
        <v>0</v>
      </c>
      <c r="E151" s="213">
        <f t="shared" si="25"/>
        <v>0</v>
      </c>
      <c r="F151" s="213">
        <f t="shared" si="25"/>
        <v>0</v>
      </c>
      <c r="G151" s="213">
        <f t="shared" si="25"/>
        <v>0</v>
      </c>
      <c r="H151" s="213">
        <f t="shared" si="25"/>
        <v>0</v>
      </c>
      <c r="I151" s="213">
        <f t="shared" si="25"/>
        <v>0</v>
      </c>
      <c r="J151" s="213">
        <f t="shared" si="25"/>
        <v>0</v>
      </c>
      <c r="K151" s="260">
        <f t="shared" si="21"/>
        <v>0</v>
      </c>
      <c r="L151" s="213">
        <f>L153+L154+L155</f>
        <v>0</v>
      </c>
      <c r="M151" s="260">
        <f t="shared" si="22"/>
        <v>15450.5</v>
      </c>
    </row>
    <row r="152" spans="1:13" ht="15.75" hidden="1">
      <c r="A152" s="210"/>
      <c r="B152" s="39" t="s">
        <v>122</v>
      </c>
      <c r="C152" s="211"/>
      <c r="D152" s="211"/>
      <c r="E152" s="211"/>
      <c r="F152" s="211"/>
      <c r="G152" s="211"/>
      <c r="H152" s="211"/>
      <c r="I152" s="211"/>
      <c r="J152" s="211"/>
      <c r="K152" s="262">
        <f t="shared" si="21"/>
        <v>0</v>
      </c>
      <c r="L152" s="211"/>
      <c r="M152" s="262">
        <f t="shared" si="22"/>
        <v>0</v>
      </c>
    </row>
    <row r="153" spans="1:13" ht="15.75">
      <c r="A153" s="210"/>
      <c r="B153" s="39" t="s">
        <v>139</v>
      </c>
      <c r="C153" s="211">
        <v>1003.9</v>
      </c>
      <c r="D153" s="211">
        <v>0</v>
      </c>
      <c r="E153" s="211">
        <v>0</v>
      </c>
      <c r="F153" s="211">
        <v>0</v>
      </c>
      <c r="G153" s="211">
        <v>0</v>
      </c>
      <c r="H153" s="211">
        <v>0</v>
      </c>
      <c r="I153" s="211">
        <v>0</v>
      </c>
      <c r="J153" s="211">
        <v>0</v>
      </c>
      <c r="K153" s="262">
        <f t="shared" si="21"/>
        <v>0</v>
      </c>
      <c r="L153" s="211"/>
      <c r="M153" s="262">
        <f t="shared" si="22"/>
        <v>1003.9</v>
      </c>
    </row>
    <row r="154" spans="1:13" ht="47.25">
      <c r="A154" s="210"/>
      <c r="B154" s="39" t="s">
        <v>133</v>
      </c>
      <c r="C154" s="211">
        <v>14046.6</v>
      </c>
      <c r="D154" s="211">
        <v>0</v>
      </c>
      <c r="E154" s="211">
        <v>0</v>
      </c>
      <c r="F154" s="211">
        <v>0</v>
      </c>
      <c r="G154" s="211">
        <v>0</v>
      </c>
      <c r="H154" s="211">
        <v>0</v>
      </c>
      <c r="I154" s="211">
        <v>0</v>
      </c>
      <c r="J154" s="211">
        <v>0</v>
      </c>
      <c r="K154" s="262">
        <f t="shared" si="21"/>
        <v>0</v>
      </c>
      <c r="L154" s="211"/>
      <c r="M154" s="262">
        <f t="shared" si="22"/>
        <v>14046.6</v>
      </c>
    </row>
    <row r="155" spans="1:13" ht="78.75">
      <c r="A155" s="210"/>
      <c r="B155" s="39" t="s">
        <v>318</v>
      </c>
      <c r="C155" s="211">
        <v>400</v>
      </c>
      <c r="D155" s="211">
        <v>0</v>
      </c>
      <c r="E155" s="211">
        <v>0</v>
      </c>
      <c r="F155" s="211">
        <v>0</v>
      </c>
      <c r="G155" s="211">
        <v>0</v>
      </c>
      <c r="H155" s="211">
        <v>0</v>
      </c>
      <c r="I155" s="211">
        <v>0</v>
      </c>
      <c r="J155" s="211">
        <v>0</v>
      </c>
      <c r="K155" s="262">
        <f t="shared" si="21"/>
        <v>0</v>
      </c>
      <c r="L155" s="211"/>
      <c r="M155" s="262">
        <f t="shared" si="22"/>
        <v>400</v>
      </c>
    </row>
    <row r="156" spans="1:13" ht="15.75" hidden="1">
      <c r="A156" s="210" t="s">
        <v>140</v>
      </c>
      <c r="B156" s="39" t="s">
        <v>141</v>
      </c>
      <c r="C156" s="211">
        <v>0</v>
      </c>
      <c r="D156" s="211">
        <v>0</v>
      </c>
      <c r="E156" s="211">
        <v>0</v>
      </c>
      <c r="F156" s="211">
        <v>0</v>
      </c>
      <c r="G156" s="211">
        <v>0</v>
      </c>
      <c r="H156" s="211">
        <v>0</v>
      </c>
      <c r="I156" s="211">
        <v>0</v>
      </c>
      <c r="J156" s="211">
        <v>0</v>
      </c>
      <c r="K156" s="262">
        <f t="shared" si="21"/>
        <v>0</v>
      </c>
      <c r="L156" s="211">
        <v>0</v>
      </c>
      <c r="M156" s="262">
        <f t="shared" si="22"/>
        <v>0</v>
      </c>
    </row>
    <row r="157" spans="1:13" ht="15.75" hidden="1">
      <c r="A157" s="210" t="s">
        <v>142</v>
      </c>
      <c r="B157" s="39" t="s">
        <v>143</v>
      </c>
      <c r="C157" s="211"/>
      <c r="D157" s="211"/>
      <c r="E157" s="211"/>
      <c r="F157" s="211"/>
      <c r="G157" s="211"/>
      <c r="H157" s="211"/>
      <c r="I157" s="211"/>
      <c r="J157" s="211"/>
      <c r="K157" s="262">
        <f t="shared" si="21"/>
        <v>0</v>
      </c>
      <c r="L157" s="211"/>
      <c r="M157" s="262">
        <f t="shared" si="22"/>
        <v>0</v>
      </c>
    </row>
    <row r="158" spans="1:13" ht="47.25" hidden="1">
      <c r="A158" s="210" t="s">
        <v>144</v>
      </c>
      <c r="B158" s="39" t="s">
        <v>145</v>
      </c>
      <c r="C158" s="211"/>
      <c r="D158" s="211"/>
      <c r="E158" s="211"/>
      <c r="F158" s="211"/>
      <c r="G158" s="211"/>
      <c r="H158" s="211"/>
      <c r="I158" s="211"/>
      <c r="J158" s="211"/>
      <c r="K158" s="262">
        <f t="shared" si="21"/>
        <v>0</v>
      </c>
      <c r="L158" s="211"/>
      <c r="M158" s="262">
        <f t="shared" si="22"/>
        <v>0</v>
      </c>
    </row>
    <row r="159" spans="1:13" ht="47.25" hidden="1">
      <c r="A159" s="210" t="s">
        <v>146</v>
      </c>
      <c r="B159" s="39" t="s">
        <v>147</v>
      </c>
      <c r="C159" s="211"/>
      <c r="D159" s="211"/>
      <c r="E159" s="211"/>
      <c r="F159" s="211"/>
      <c r="G159" s="211"/>
      <c r="H159" s="211"/>
      <c r="I159" s="211"/>
      <c r="J159" s="211"/>
      <c r="K159" s="262">
        <f t="shared" si="21"/>
        <v>0</v>
      </c>
      <c r="L159" s="211"/>
      <c r="M159" s="262">
        <f t="shared" si="22"/>
        <v>0</v>
      </c>
    </row>
    <row r="160" spans="1:13" ht="63" hidden="1">
      <c r="A160" s="210" t="s">
        <v>148</v>
      </c>
      <c r="B160" s="39" t="s">
        <v>149</v>
      </c>
      <c r="C160" s="211" t="s">
        <v>150</v>
      </c>
      <c r="D160" s="211" t="s">
        <v>150</v>
      </c>
      <c r="E160" s="211" t="s">
        <v>150</v>
      </c>
      <c r="F160" s="211" t="s">
        <v>150</v>
      </c>
      <c r="G160" s="211" t="s">
        <v>150</v>
      </c>
      <c r="H160" s="211" t="s">
        <v>150</v>
      </c>
      <c r="I160" s="211" t="s">
        <v>150</v>
      </c>
      <c r="J160" s="211" t="s">
        <v>150</v>
      </c>
      <c r="K160" s="262">
        <f t="shared" si="21"/>
        <v>0</v>
      </c>
      <c r="L160" s="211" t="s">
        <v>150</v>
      </c>
      <c r="M160" s="262" t="e">
        <f t="shared" si="22"/>
        <v>#VALUE!</v>
      </c>
    </row>
    <row r="161" spans="1:13" ht="15.75" hidden="1">
      <c r="A161" s="210"/>
      <c r="B161" s="39" t="s">
        <v>122</v>
      </c>
      <c r="C161" s="211"/>
      <c r="D161" s="211"/>
      <c r="E161" s="211"/>
      <c r="F161" s="211"/>
      <c r="G161" s="211"/>
      <c r="H161" s="211"/>
      <c r="I161" s="211"/>
      <c r="J161" s="211"/>
      <c r="K161" s="262">
        <f t="shared" si="21"/>
        <v>0</v>
      </c>
      <c r="L161" s="211"/>
      <c r="M161" s="262">
        <f t="shared" si="22"/>
        <v>0</v>
      </c>
    </row>
    <row r="162" spans="1:13" ht="15.75" hidden="1">
      <c r="A162" s="210"/>
      <c r="B162" s="39" t="s">
        <v>132</v>
      </c>
      <c r="C162" s="211"/>
      <c r="D162" s="211"/>
      <c r="E162" s="211"/>
      <c r="F162" s="211"/>
      <c r="G162" s="211"/>
      <c r="H162" s="211"/>
      <c r="I162" s="211"/>
      <c r="J162" s="211"/>
      <c r="K162" s="262">
        <f t="shared" si="21"/>
        <v>0</v>
      </c>
      <c r="L162" s="211"/>
      <c r="M162" s="262">
        <f t="shared" si="22"/>
        <v>0</v>
      </c>
    </row>
    <row r="163" spans="1:13" ht="15.75" hidden="1">
      <c r="A163" s="210"/>
      <c r="B163" s="39" t="s">
        <v>91</v>
      </c>
      <c r="C163" s="211"/>
      <c r="D163" s="211"/>
      <c r="E163" s="211"/>
      <c r="F163" s="211"/>
      <c r="G163" s="211"/>
      <c r="H163" s="211"/>
      <c r="I163" s="211"/>
      <c r="J163" s="211"/>
      <c r="K163" s="262">
        <f t="shared" si="21"/>
        <v>0</v>
      </c>
      <c r="L163" s="211"/>
      <c r="M163" s="262">
        <f t="shared" si="22"/>
        <v>0</v>
      </c>
    </row>
    <row r="164" spans="1:13" s="246" customFormat="1" ht="15.75">
      <c r="A164" s="206" t="s">
        <v>151</v>
      </c>
      <c r="B164" s="207" t="s">
        <v>152</v>
      </c>
      <c r="C164" s="208">
        <f>C165+C166+C172</f>
        <v>23247.4</v>
      </c>
      <c r="D164" s="208">
        <f aca="true" t="shared" si="26" ref="D164:J164">D165+D166+D172</f>
        <v>405</v>
      </c>
      <c r="E164" s="208">
        <f t="shared" si="26"/>
        <v>36</v>
      </c>
      <c r="F164" s="208">
        <f t="shared" si="26"/>
        <v>0</v>
      </c>
      <c r="G164" s="208">
        <f t="shared" si="26"/>
        <v>18</v>
      </c>
      <c r="H164" s="208">
        <f t="shared" si="26"/>
        <v>66</v>
      </c>
      <c r="I164" s="208">
        <f t="shared" si="26"/>
        <v>0</v>
      </c>
      <c r="J164" s="208">
        <f t="shared" si="26"/>
        <v>110.4</v>
      </c>
      <c r="K164" s="264">
        <f t="shared" si="21"/>
        <v>635.4</v>
      </c>
      <c r="L164" s="208">
        <f>L165+L166+L172</f>
        <v>0</v>
      </c>
      <c r="M164" s="264">
        <f t="shared" si="22"/>
        <v>23882.800000000003</v>
      </c>
    </row>
    <row r="165" spans="1:13" s="246" customFormat="1" ht="31.5">
      <c r="A165" s="204" t="s">
        <v>153</v>
      </c>
      <c r="B165" s="212" t="s">
        <v>267</v>
      </c>
      <c r="C165" s="213">
        <v>1686</v>
      </c>
      <c r="D165" s="213">
        <v>353.7</v>
      </c>
      <c r="E165" s="213">
        <v>36</v>
      </c>
      <c r="F165" s="213">
        <v>0</v>
      </c>
      <c r="G165" s="213">
        <v>18</v>
      </c>
      <c r="H165" s="213">
        <v>66</v>
      </c>
      <c r="I165" s="213">
        <v>0</v>
      </c>
      <c r="J165" s="213">
        <v>110.4</v>
      </c>
      <c r="K165" s="260">
        <f t="shared" si="21"/>
        <v>584.1</v>
      </c>
      <c r="L165" s="213"/>
      <c r="M165" s="260">
        <f t="shared" si="22"/>
        <v>2270.1</v>
      </c>
    </row>
    <row r="166" spans="1:13" s="246" customFormat="1" ht="31.5">
      <c r="A166" s="204" t="s">
        <v>154</v>
      </c>
      <c r="B166" s="212" t="s">
        <v>319</v>
      </c>
      <c r="C166" s="213">
        <f>C167+C168+C169+C170+C171</f>
        <v>15621.2</v>
      </c>
      <c r="D166" s="213">
        <f aca="true" t="shared" si="27" ref="D166:J166">D167+D168+D169+D170+D171</f>
        <v>51.3</v>
      </c>
      <c r="E166" s="213">
        <f t="shared" si="27"/>
        <v>0</v>
      </c>
      <c r="F166" s="213">
        <f t="shared" si="27"/>
        <v>0</v>
      </c>
      <c r="G166" s="213">
        <f t="shared" si="27"/>
        <v>0</v>
      </c>
      <c r="H166" s="213">
        <f t="shared" si="27"/>
        <v>0</v>
      </c>
      <c r="I166" s="213">
        <f t="shared" si="27"/>
        <v>0</v>
      </c>
      <c r="J166" s="213">
        <f t="shared" si="27"/>
        <v>0</v>
      </c>
      <c r="K166" s="260">
        <f t="shared" si="21"/>
        <v>51.3</v>
      </c>
      <c r="L166" s="213">
        <f>L167+L168+L169+L170+L171</f>
        <v>0</v>
      </c>
      <c r="M166" s="260">
        <f t="shared" si="22"/>
        <v>15672.5</v>
      </c>
    </row>
    <row r="167" spans="1:13" ht="31.5">
      <c r="A167" s="210"/>
      <c r="B167" s="39" t="s">
        <v>320</v>
      </c>
      <c r="C167" s="211">
        <v>15272.2</v>
      </c>
      <c r="D167" s="211">
        <v>0</v>
      </c>
      <c r="E167" s="211">
        <v>0</v>
      </c>
      <c r="F167" s="211">
        <v>0</v>
      </c>
      <c r="G167" s="211">
        <v>0</v>
      </c>
      <c r="H167" s="211">
        <v>0</v>
      </c>
      <c r="I167" s="211">
        <v>0</v>
      </c>
      <c r="J167" s="211">
        <v>0</v>
      </c>
      <c r="K167" s="262">
        <f t="shared" si="21"/>
        <v>0</v>
      </c>
      <c r="L167" s="211"/>
      <c r="M167" s="262">
        <f t="shared" si="22"/>
        <v>15272.2</v>
      </c>
    </row>
    <row r="168" spans="1:13" ht="94.5">
      <c r="A168" s="210"/>
      <c r="B168" s="39" t="s">
        <v>321</v>
      </c>
      <c r="C168" s="211">
        <v>185</v>
      </c>
      <c r="D168" s="211">
        <v>0</v>
      </c>
      <c r="E168" s="211">
        <v>0</v>
      </c>
      <c r="F168" s="211">
        <v>0</v>
      </c>
      <c r="G168" s="211">
        <v>0</v>
      </c>
      <c r="H168" s="211">
        <v>0</v>
      </c>
      <c r="I168" s="211">
        <v>0</v>
      </c>
      <c r="J168" s="211">
        <v>0</v>
      </c>
      <c r="K168" s="262">
        <f t="shared" si="21"/>
        <v>0</v>
      </c>
      <c r="L168" s="211"/>
      <c r="M168" s="262">
        <f t="shared" si="22"/>
        <v>185</v>
      </c>
    </row>
    <row r="169" spans="1:13" ht="31.5">
      <c r="A169" s="210"/>
      <c r="B169" s="223" t="s">
        <v>322</v>
      </c>
      <c r="C169" s="211">
        <v>154</v>
      </c>
      <c r="D169" s="211">
        <v>51.3</v>
      </c>
      <c r="E169" s="211">
        <v>0</v>
      </c>
      <c r="F169" s="211">
        <v>0</v>
      </c>
      <c r="G169" s="211">
        <v>0</v>
      </c>
      <c r="H169" s="211">
        <v>0</v>
      </c>
      <c r="I169" s="211">
        <v>0</v>
      </c>
      <c r="J169" s="211">
        <v>0</v>
      </c>
      <c r="K169" s="262">
        <f t="shared" si="21"/>
        <v>51.3</v>
      </c>
      <c r="L169" s="211"/>
      <c r="M169" s="262">
        <f t="shared" si="22"/>
        <v>205.3</v>
      </c>
    </row>
    <row r="170" spans="1:13" ht="15.75" hidden="1">
      <c r="A170" s="210"/>
      <c r="B170" s="39" t="s">
        <v>155</v>
      </c>
      <c r="C170" s="211">
        <v>0</v>
      </c>
      <c r="D170" s="211">
        <v>0</v>
      </c>
      <c r="E170" s="211">
        <v>0</v>
      </c>
      <c r="F170" s="211">
        <v>0</v>
      </c>
      <c r="G170" s="211">
        <v>0</v>
      </c>
      <c r="H170" s="211">
        <v>0</v>
      </c>
      <c r="I170" s="211">
        <v>0</v>
      </c>
      <c r="J170" s="211">
        <v>0</v>
      </c>
      <c r="K170" s="262">
        <f t="shared" si="21"/>
        <v>0</v>
      </c>
      <c r="L170" s="211"/>
      <c r="M170" s="262">
        <f t="shared" si="22"/>
        <v>0</v>
      </c>
    </row>
    <row r="171" spans="1:13" ht="78.75">
      <c r="A171" s="210"/>
      <c r="B171" s="39" t="s">
        <v>268</v>
      </c>
      <c r="C171" s="211">
        <v>10</v>
      </c>
      <c r="D171" s="211">
        <v>0</v>
      </c>
      <c r="E171" s="211">
        <v>0</v>
      </c>
      <c r="F171" s="211">
        <v>0</v>
      </c>
      <c r="G171" s="211">
        <v>0</v>
      </c>
      <c r="H171" s="211">
        <v>0</v>
      </c>
      <c r="I171" s="211">
        <v>0</v>
      </c>
      <c r="J171" s="211">
        <v>0</v>
      </c>
      <c r="K171" s="262">
        <f t="shared" si="21"/>
        <v>0</v>
      </c>
      <c r="L171" s="211"/>
      <c r="M171" s="262">
        <f t="shared" si="22"/>
        <v>10</v>
      </c>
    </row>
    <row r="172" spans="1:13" s="246" customFormat="1" ht="15.75">
      <c r="A172" s="204" t="s">
        <v>156</v>
      </c>
      <c r="B172" s="212" t="s">
        <v>11</v>
      </c>
      <c r="C172" s="213">
        <v>5940.2</v>
      </c>
      <c r="D172" s="213">
        <v>0</v>
      </c>
      <c r="E172" s="213">
        <v>0</v>
      </c>
      <c r="F172" s="213">
        <v>0</v>
      </c>
      <c r="G172" s="213">
        <v>0</v>
      </c>
      <c r="H172" s="213">
        <v>0</v>
      </c>
      <c r="I172" s="213">
        <v>0</v>
      </c>
      <c r="J172" s="213">
        <v>0</v>
      </c>
      <c r="K172" s="260">
        <f t="shared" si="21"/>
        <v>0</v>
      </c>
      <c r="L172" s="213"/>
      <c r="M172" s="260">
        <f t="shared" si="22"/>
        <v>5940.2</v>
      </c>
    </row>
    <row r="173" spans="1:13" s="246" customFormat="1" ht="15.75">
      <c r="A173" s="206" t="s">
        <v>157</v>
      </c>
      <c r="B173" s="207" t="s">
        <v>158</v>
      </c>
      <c r="C173" s="208">
        <f>C174+C178</f>
        <v>716.5</v>
      </c>
      <c r="D173" s="208">
        <f aca="true" t="shared" si="28" ref="D173:J173">D174+D178</f>
        <v>34644</v>
      </c>
      <c r="E173" s="208">
        <f t="shared" si="28"/>
        <v>0</v>
      </c>
      <c r="F173" s="208">
        <f t="shared" si="28"/>
        <v>0</v>
      </c>
      <c r="G173" s="208">
        <f t="shared" si="28"/>
        <v>0</v>
      </c>
      <c r="H173" s="208">
        <f t="shared" si="28"/>
        <v>0</v>
      </c>
      <c r="I173" s="208">
        <f t="shared" si="28"/>
        <v>0</v>
      </c>
      <c r="J173" s="208">
        <f t="shared" si="28"/>
        <v>0</v>
      </c>
      <c r="K173" s="264">
        <f t="shared" si="21"/>
        <v>34644</v>
      </c>
      <c r="L173" s="208">
        <f>L174+L178</f>
        <v>0</v>
      </c>
      <c r="M173" s="264">
        <f t="shared" si="22"/>
        <v>35360.5</v>
      </c>
    </row>
    <row r="174" spans="1:13" s="246" customFormat="1" ht="63">
      <c r="A174" s="204" t="s">
        <v>159</v>
      </c>
      <c r="B174" s="212" t="s">
        <v>347</v>
      </c>
      <c r="C174" s="213">
        <f>C175+C176+C177</f>
        <v>0</v>
      </c>
      <c r="D174" s="213">
        <f>D175+D176+D177</f>
        <v>34644</v>
      </c>
      <c r="E174" s="213">
        <f aca="true" t="shared" si="29" ref="E174:J174">E175+E176+E177</f>
        <v>0</v>
      </c>
      <c r="F174" s="213">
        <f t="shared" si="29"/>
        <v>0</v>
      </c>
      <c r="G174" s="213">
        <v>0</v>
      </c>
      <c r="H174" s="213">
        <f t="shared" si="29"/>
        <v>0</v>
      </c>
      <c r="I174" s="213">
        <f t="shared" si="29"/>
        <v>0</v>
      </c>
      <c r="J174" s="213">
        <f t="shared" si="29"/>
        <v>0</v>
      </c>
      <c r="K174" s="260">
        <f t="shared" si="21"/>
        <v>34644</v>
      </c>
      <c r="L174" s="213">
        <f>L175+L176+L177</f>
        <v>0</v>
      </c>
      <c r="M174" s="260">
        <f t="shared" si="22"/>
        <v>34644</v>
      </c>
    </row>
    <row r="175" spans="1:13" ht="47.25">
      <c r="A175" s="210"/>
      <c r="B175" s="39" t="s">
        <v>346</v>
      </c>
      <c r="C175" s="211"/>
      <c r="D175" s="211">
        <v>34644</v>
      </c>
      <c r="E175" s="211"/>
      <c r="F175" s="211"/>
      <c r="G175" s="211"/>
      <c r="H175" s="211"/>
      <c r="I175" s="211"/>
      <c r="J175" s="211"/>
      <c r="K175" s="262">
        <f t="shared" si="21"/>
        <v>34644</v>
      </c>
      <c r="L175" s="211"/>
      <c r="M175" s="262">
        <f t="shared" si="22"/>
        <v>34644</v>
      </c>
    </row>
    <row r="176" spans="1:13" ht="15.75" hidden="1">
      <c r="A176" s="210"/>
      <c r="B176" s="39"/>
      <c r="C176" s="211"/>
      <c r="D176" s="211"/>
      <c r="E176" s="211"/>
      <c r="F176" s="211"/>
      <c r="G176" s="211"/>
      <c r="H176" s="211"/>
      <c r="I176" s="211"/>
      <c r="J176" s="211"/>
      <c r="K176" s="262">
        <f t="shared" si="21"/>
        <v>0</v>
      </c>
      <c r="L176" s="211"/>
      <c r="M176" s="262">
        <f t="shared" si="22"/>
        <v>0</v>
      </c>
    </row>
    <row r="177" spans="1:13" ht="94.5" hidden="1">
      <c r="A177" s="210"/>
      <c r="B177" s="39" t="s">
        <v>162</v>
      </c>
      <c r="C177" s="211">
        <v>0</v>
      </c>
      <c r="D177" s="211">
        <v>0</v>
      </c>
      <c r="E177" s="211">
        <v>0</v>
      </c>
      <c r="F177" s="211">
        <v>0</v>
      </c>
      <c r="G177" s="211">
        <v>0</v>
      </c>
      <c r="H177" s="211">
        <v>0</v>
      </c>
      <c r="I177" s="211">
        <v>0</v>
      </c>
      <c r="J177" s="211">
        <v>0</v>
      </c>
      <c r="K177" s="262">
        <f t="shared" si="21"/>
        <v>0</v>
      </c>
      <c r="L177" s="211">
        <v>0</v>
      </c>
      <c r="M177" s="262">
        <f t="shared" si="22"/>
        <v>0</v>
      </c>
    </row>
    <row r="178" spans="1:13" s="246" customFormat="1" ht="31.5">
      <c r="A178" s="204" t="s">
        <v>163</v>
      </c>
      <c r="B178" s="212" t="s">
        <v>164</v>
      </c>
      <c r="C178" s="213">
        <f>C179+C180</f>
        <v>716.5</v>
      </c>
      <c r="D178" s="213">
        <f aca="true" t="shared" si="30" ref="D178:J178">D179+D180</f>
        <v>0</v>
      </c>
      <c r="E178" s="213">
        <f t="shared" si="30"/>
        <v>0</v>
      </c>
      <c r="F178" s="213">
        <f t="shared" si="30"/>
        <v>0</v>
      </c>
      <c r="G178" s="213">
        <f t="shared" si="30"/>
        <v>0</v>
      </c>
      <c r="H178" s="213">
        <f t="shared" si="30"/>
        <v>0</v>
      </c>
      <c r="I178" s="213">
        <f t="shared" si="30"/>
        <v>0</v>
      </c>
      <c r="J178" s="213">
        <f t="shared" si="30"/>
        <v>0</v>
      </c>
      <c r="K178" s="260">
        <f t="shared" si="21"/>
        <v>0</v>
      </c>
      <c r="L178" s="213">
        <f>L179+L180</f>
        <v>0</v>
      </c>
      <c r="M178" s="260">
        <f t="shared" si="22"/>
        <v>716.5</v>
      </c>
    </row>
    <row r="179" spans="1:13" ht="15.75">
      <c r="A179" s="210"/>
      <c r="B179" s="39" t="s">
        <v>132</v>
      </c>
      <c r="C179" s="211">
        <v>716.5</v>
      </c>
      <c r="D179" s="211">
        <v>0</v>
      </c>
      <c r="E179" s="211">
        <v>0</v>
      </c>
      <c r="F179" s="211">
        <v>0</v>
      </c>
      <c r="G179" s="211">
        <v>0</v>
      </c>
      <c r="H179" s="211">
        <v>0</v>
      </c>
      <c r="I179" s="211">
        <v>0</v>
      </c>
      <c r="J179" s="211">
        <v>0</v>
      </c>
      <c r="K179" s="262">
        <f t="shared" si="21"/>
        <v>0</v>
      </c>
      <c r="L179" s="211"/>
      <c r="M179" s="262">
        <f t="shared" si="22"/>
        <v>716.5</v>
      </c>
    </row>
    <row r="180" spans="1:13" ht="15.75" hidden="1">
      <c r="A180" s="210"/>
      <c r="B180" s="39" t="s">
        <v>91</v>
      </c>
      <c r="C180" s="211">
        <v>0</v>
      </c>
      <c r="D180" s="211">
        <v>0</v>
      </c>
      <c r="E180" s="211">
        <v>0</v>
      </c>
      <c r="F180" s="211">
        <v>0</v>
      </c>
      <c r="G180" s="211">
        <v>0</v>
      </c>
      <c r="H180" s="211">
        <v>0</v>
      </c>
      <c r="I180" s="211">
        <v>0</v>
      </c>
      <c r="J180" s="211">
        <v>0</v>
      </c>
      <c r="K180" s="262">
        <f t="shared" si="21"/>
        <v>0</v>
      </c>
      <c r="L180" s="211">
        <v>0</v>
      </c>
      <c r="M180" s="262">
        <f t="shared" si="22"/>
        <v>0</v>
      </c>
    </row>
    <row r="181" spans="1:13" s="246" customFormat="1" ht="15.75">
      <c r="A181" s="206" t="s">
        <v>165</v>
      </c>
      <c r="B181" s="207" t="s">
        <v>166</v>
      </c>
      <c r="C181" s="208">
        <f>C182</f>
        <v>370</v>
      </c>
      <c r="D181" s="208">
        <f aca="true" t="shared" si="31" ref="D181:J181">D182</f>
        <v>90</v>
      </c>
      <c r="E181" s="208">
        <f t="shared" si="31"/>
        <v>0</v>
      </c>
      <c r="F181" s="208">
        <f t="shared" si="31"/>
        <v>0</v>
      </c>
      <c r="G181" s="208">
        <f t="shared" si="31"/>
        <v>0</v>
      </c>
      <c r="H181" s="208">
        <f t="shared" si="31"/>
        <v>0</v>
      </c>
      <c r="I181" s="208">
        <f t="shared" si="31"/>
        <v>0</v>
      </c>
      <c r="J181" s="208">
        <f t="shared" si="31"/>
        <v>0</v>
      </c>
      <c r="K181" s="264">
        <f t="shared" si="21"/>
        <v>90</v>
      </c>
      <c r="L181" s="208">
        <f>L182</f>
        <v>0</v>
      </c>
      <c r="M181" s="264">
        <f t="shared" si="22"/>
        <v>460</v>
      </c>
    </row>
    <row r="182" spans="1:13" s="246" customFormat="1" ht="15.75">
      <c r="A182" s="204" t="s">
        <v>167</v>
      </c>
      <c r="B182" s="212" t="s">
        <v>8</v>
      </c>
      <c r="C182" s="213">
        <v>370</v>
      </c>
      <c r="D182" s="213">
        <v>90</v>
      </c>
      <c r="E182" s="213">
        <v>0</v>
      </c>
      <c r="F182" s="213">
        <v>0</v>
      </c>
      <c r="G182" s="213">
        <v>0</v>
      </c>
      <c r="H182" s="213">
        <v>0</v>
      </c>
      <c r="I182" s="213">
        <v>0</v>
      </c>
      <c r="J182" s="213">
        <v>0</v>
      </c>
      <c r="K182" s="260">
        <f t="shared" si="21"/>
        <v>90</v>
      </c>
      <c r="L182" s="213"/>
      <c r="M182" s="260">
        <f t="shared" si="22"/>
        <v>460</v>
      </c>
    </row>
    <row r="183" spans="1:13" s="246" customFormat="1" ht="31.5">
      <c r="A183" s="206" t="s">
        <v>168</v>
      </c>
      <c r="B183" s="207" t="s">
        <v>169</v>
      </c>
      <c r="C183" s="208">
        <f>C184</f>
        <v>0</v>
      </c>
      <c r="D183" s="208">
        <f aca="true" t="shared" si="32" ref="D183:J183">D184</f>
        <v>0</v>
      </c>
      <c r="E183" s="208">
        <f t="shared" si="32"/>
        <v>0</v>
      </c>
      <c r="F183" s="208">
        <f t="shared" si="32"/>
        <v>0</v>
      </c>
      <c r="G183" s="208">
        <f t="shared" si="32"/>
        <v>0</v>
      </c>
      <c r="H183" s="208">
        <f t="shared" si="32"/>
        <v>0</v>
      </c>
      <c r="I183" s="208">
        <f t="shared" si="32"/>
        <v>0</v>
      </c>
      <c r="J183" s="208">
        <f t="shared" si="32"/>
        <v>0</v>
      </c>
      <c r="K183" s="264">
        <f t="shared" si="21"/>
        <v>0</v>
      </c>
      <c r="L183" s="208">
        <f>L184</f>
        <v>0</v>
      </c>
      <c r="M183" s="264">
        <f t="shared" si="22"/>
        <v>0</v>
      </c>
    </row>
    <row r="184" spans="1:13" s="246" customFormat="1" ht="15.75">
      <c r="A184" s="204" t="s">
        <v>170</v>
      </c>
      <c r="B184" s="212" t="s">
        <v>7</v>
      </c>
      <c r="C184" s="213">
        <v>0</v>
      </c>
      <c r="D184" s="213">
        <v>0</v>
      </c>
      <c r="E184" s="213">
        <v>0</v>
      </c>
      <c r="F184" s="213">
        <v>0</v>
      </c>
      <c r="G184" s="213">
        <v>0</v>
      </c>
      <c r="H184" s="213">
        <v>0</v>
      </c>
      <c r="I184" s="213">
        <v>0</v>
      </c>
      <c r="J184" s="213">
        <v>0</v>
      </c>
      <c r="K184" s="260">
        <f t="shared" si="21"/>
        <v>0</v>
      </c>
      <c r="L184" s="213"/>
      <c r="M184" s="260">
        <f t="shared" si="22"/>
        <v>0</v>
      </c>
    </row>
    <row r="185" spans="1:13" s="246" customFormat="1" ht="78.75">
      <c r="A185" s="206" t="s">
        <v>171</v>
      </c>
      <c r="B185" s="207" t="s">
        <v>269</v>
      </c>
      <c r="C185" s="208">
        <f>C187+C188+C189</f>
        <v>2669.9</v>
      </c>
      <c r="D185" s="208">
        <f aca="true" t="shared" si="33" ref="D185:J185">D187+D188+D189</f>
        <v>0</v>
      </c>
      <c r="E185" s="208">
        <f t="shared" si="33"/>
        <v>0</v>
      </c>
      <c r="F185" s="208">
        <f t="shared" si="33"/>
        <v>0</v>
      </c>
      <c r="G185" s="208">
        <f t="shared" si="33"/>
        <v>0</v>
      </c>
      <c r="H185" s="208">
        <f t="shared" si="33"/>
        <v>0</v>
      </c>
      <c r="I185" s="208">
        <f t="shared" si="33"/>
        <v>0</v>
      </c>
      <c r="J185" s="208">
        <f t="shared" si="33"/>
        <v>0</v>
      </c>
      <c r="K185" s="264">
        <f t="shared" si="21"/>
        <v>0</v>
      </c>
      <c r="L185" s="208">
        <f>L187+L188+L189</f>
        <v>2669.9</v>
      </c>
      <c r="M185" s="264">
        <f t="shared" si="22"/>
        <v>0</v>
      </c>
    </row>
    <row r="186" spans="1:13" s="246" customFormat="1" ht="31.5">
      <c r="A186" s="204" t="s">
        <v>172</v>
      </c>
      <c r="B186" s="212" t="s">
        <v>173</v>
      </c>
      <c r="C186" s="213">
        <f>C187+C188</f>
        <v>2669.9</v>
      </c>
      <c r="D186" s="213">
        <f aca="true" t="shared" si="34" ref="D186:J186">D187+D188</f>
        <v>0</v>
      </c>
      <c r="E186" s="213">
        <f t="shared" si="34"/>
        <v>0</v>
      </c>
      <c r="F186" s="213">
        <f t="shared" si="34"/>
        <v>0</v>
      </c>
      <c r="G186" s="213">
        <f t="shared" si="34"/>
        <v>0</v>
      </c>
      <c r="H186" s="213">
        <f t="shared" si="34"/>
        <v>0</v>
      </c>
      <c r="I186" s="213">
        <f t="shared" si="34"/>
        <v>0</v>
      </c>
      <c r="J186" s="213">
        <f t="shared" si="34"/>
        <v>0</v>
      </c>
      <c r="K186" s="260">
        <f t="shared" si="21"/>
        <v>0</v>
      </c>
      <c r="L186" s="213">
        <f>L187+L188</f>
        <v>2669.9</v>
      </c>
      <c r="M186" s="260">
        <f t="shared" si="22"/>
        <v>0</v>
      </c>
    </row>
    <row r="187" spans="1:13" ht="47.25" hidden="1">
      <c r="A187" s="210"/>
      <c r="B187" s="39" t="s">
        <v>174</v>
      </c>
      <c r="C187" s="211">
        <f>0</f>
        <v>0</v>
      </c>
      <c r="D187" s="211">
        <f>0</f>
        <v>0</v>
      </c>
      <c r="E187" s="211">
        <f>0</f>
        <v>0</v>
      </c>
      <c r="F187" s="211">
        <f>0</f>
        <v>0</v>
      </c>
      <c r="G187" s="211">
        <f>0</f>
        <v>0</v>
      </c>
      <c r="H187" s="211">
        <f>0</f>
        <v>0</v>
      </c>
      <c r="I187" s="211">
        <f>0</f>
        <v>0</v>
      </c>
      <c r="J187" s="211">
        <f>0</f>
        <v>0</v>
      </c>
      <c r="K187" s="262">
        <f t="shared" si="21"/>
        <v>0</v>
      </c>
      <c r="L187" s="211">
        <f>0</f>
        <v>0</v>
      </c>
      <c r="M187" s="262">
        <f t="shared" si="22"/>
        <v>0</v>
      </c>
    </row>
    <row r="188" spans="1:13" ht="47.25">
      <c r="A188" s="210"/>
      <c r="B188" s="39" t="s">
        <v>175</v>
      </c>
      <c r="C188" s="209">
        <v>2669.9</v>
      </c>
      <c r="D188" s="209">
        <v>0</v>
      </c>
      <c r="E188" s="209">
        <v>0</v>
      </c>
      <c r="F188" s="209">
        <v>0</v>
      </c>
      <c r="G188" s="209">
        <v>0</v>
      </c>
      <c r="H188" s="209">
        <v>0</v>
      </c>
      <c r="I188" s="209">
        <v>0</v>
      </c>
      <c r="J188" s="209">
        <v>0</v>
      </c>
      <c r="K188" s="262">
        <f t="shared" si="21"/>
        <v>0</v>
      </c>
      <c r="L188" s="209">
        <f>C188</f>
        <v>2669.9</v>
      </c>
      <c r="M188" s="262">
        <f t="shared" si="22"/>
        <v>0</v>
      </c>
    </row>
    <row r="189" spans="1:13" ht="15.75" hidden="1">
      <c r="A189" s="210" t="s">
        <v>176</v>
      </c>
      <c r="B189" s="39" t="s">
        <v>6</v>
      </c>
      <c r="C189" s="211">
        <f>0</f>
        <v>0</v>
      </c>
      <c r="D189" s="211">
        <f>0</f>
        <v>0</v>
      </c>
      <c r="E189" s="211">
        <f>0</f>
        <v>0</v>
      </c>
      <c r="F189" s="211">
        <f>0</f>
        <v>0</v>
      </c>
      <c r="G189" s="211">
        <f>0</f>
        <v>0</v>
      </c>
      <c r="H189" s="211">
        <f>0</f>
        <v>0</v>
      </c>
      <c r="I189" s="211">
        <f>0</f>
        <v>0</v>
      </c>
      <c r="J189" s="211">
        <f>0</f>
        <v>0</v>
      </c>
      <c r="K189" s="262">
        <f t="shared" si="21"/>
        <v>0</v>
      </c>
      <c r="L189" s="211">
        <f>0</f>
        <v>0</v>
      </c>
      <c r="M189" s="262">
        <f t="shared" si="22"/>
        <v>0</v>
      </c>
    </row>
    <row r="190" spans="1:13" s="246" customFormat="1" ht="15.75">
      <c r="A190" s="206"/>
      <c r="B190" s="207" t="s">
        <v>323</v>
      </c>
      <c r="C190" s="208">
        <f>C6+C34+C36+C46+C69+C105+C107+C144+C156+C164+C173+C181+C183+C185</f>
        <v>671807</v>
      </c>
      <c r="D190" s="208">
        <f>D6+D34+D36+D46+D69+D105+D107+D144+D156+D164+D173+D181+D183+D185</f>
        <v>78546.7</v>
      </c>
      <c r="E190" s="208">
        <f>E6+E34+E36+E46+E69+E105+E107+E144+E156+E164+E173+E181+E183+E185</f>
        <v>5078.9</v>
      </c>
      <c r="F190" s="208">
        <f>F6+F34+F36+F46+F69+F105+F107+F144+F156+F164+F173+F181+F183+F185</f>
        <v>4103.4</v>
      </c>
      <c r="G190" s="208">
        <f>G6+G34+G36+G46+G69+G105+G107+G144+G156+G164+G173+G181+G183+G185</f>
        <v>3718.3999999999996</v>
      </c>
      <c r="H190" s="208">
        <f>H6+H34+H36+H46+H69+H105+H107+H144+H156+H164+H173+H181+H183+H185</f>
        <v>5345.599999999999</v>
      </c>
      <c r="I190" s="208">
        <f>I6+I34+I36+I46+I69+I105+I107+I144+I156+I164+I173+I181+I183+I185</f>
        <v>3566.2999999999997</v>
      </c>
      <c r="J190" s="208">
        <f>J6+J34+J36+J46+J69+J105+J107+J144+J156+J164+J173+J181+J183+J185</f>
        <v>4486.699999999999</v>
      </c>
      <c r="K190" s="264">
        <f t="shared" si="21"/>
        <v>104845.99999999999</v>
      </c>
      <c r="L190" s="208">
        <f>L6+L34+L36+L46+L69+L105+L107+L144+L156+L164+L173+L181+L183+L185</f>
        <v>2860.9</v>
      </c>
      <c r="M190" s="264">
        <f t="shared" si="22"/>
        <v>773792.1</v>
      </c>
    </row>
    <row r="191" spans="1:13" ht="15.75">
      <c r="A191" s="210"/>
      <c r="B191" s="39" t="s">
        <v>177</v>
      </c>
      <c r="C191" s="209">
        <v>2669.9</v>
      </c>
      <c r="D191" s="209">
        <f>D15</f>
        <v>0</v>
      </c>
      <c r="E191" s="209">
        <f>E15</f>
        <v>35</v>
      </c>
      <c r="F191" s="209">
        <f>F15</f>
        <v>35</v>
      </c>
      <c r="G191" s="209">
        <f>G15</f>
        <v>25</v>
      </c>
      <c r="H191" s="209">
        <f>H15</f>
        <v>38</v>
      </c>
      <c r="I191" s="209">
        <f>I15</f>
        <v>28</v>
      </c>
      <c r="J191" s="209">
        <f>J15</f>
        <v>30</v>
      </c>
      <c r="K191" s="262">
        <f t="shared" si="21"/>
        <v>191</v>
      </c>
      <c r="L191" s="209">
        <f>SUM(C191:J191)</f>
        <v>2860.9</v>
      </c>
      <c r="M191" s="262">
        <f t="shared" si="22"/>
        <v>0</v>
      </c>
    </row>
    <row r="192" spans="1:13" ht="31.5">
      <c r="A192" s="210"/>
      <c r="B192" s="39" t="s">
        <v>178</v>
      </c>
      <c r="C192" s="211">
        <f>C190-C191</f>
        <v>669137.1</v>
      </c>
      <c r="D192" s="211">
        <f aca="true" t="shared" si="35" ref="D192:J192">D190-D191</f>
        <v>78546.7</v>
      </c>
      <c r="E192" s="211">
        <f t="shared" si="35"/>
        <v>5043.9</v>
      </c>
      <c r="F192" s="211">
        <f t="shared" si="35"/>
        <v>4068.3999999999996</v>
      </c>
      <c r="G192" s="211">
        <f t="shared" si="35"/>
        <v>3693.3999999999996</v>
      </c>
      <c r="H192" s="211">
        <f t="shared" si="35"/>
        <v>5307.599999999999</v>
      </c>
      <c r="I192" s="211">
        <f t="shared" si="35"/>
        <v>3538.2999999999997</v>
      </c>
      <c r="J192" s="211">
        <f t="shared" si="35"/>
        <v>4456.699999999999</v>
      </c>
      <c r="K192" s="262">
        <f t="shared" si="21"/>
        <v>104654.99999999999</v>
      </c>
      <c r="L192" s="211">
        <f>L190-L191</f>
        <v>0</v>
      </c>
      <c r="M192" s="262">
        <f t="shared" si="22"/>
        <v>773792.1</v>
      </c>
    </row>
    <row r="193" spans="1:13" ht="31.5">
      <c r="A193" s="249"/>
      <c r="B193" s="250" t="s">
        <v>179</v>
      </c>
      <c r="C193" s="265">
        <v>-17800</v>
      </c>
      <c r="D193" s="265">
        <v>0</v>
      </c>
      <c r="E193" s="265">
        <v>0</v>
      </c>
      <c r="F193" s="265">
        <v>0</v>
      </c>
      <c r="G193" s="265">
        <v>0</v>
      </c>
      <c r="H193" s="265">
        <v>0</v>
      </c>
      <c r="I193" s="265">
        <v>0</v>
      </c>
      <c r="J193" s="265">
        <v>0</v>
      </c>
      <c r="K193" s="266">
        <f t="shared" si="21"/>
        <v>0</v>
      </c>
      <c r="L193" s="265">
        <v>0</v>
      </c>
      <c r="M193" s="266">
        <f t="shared" si="22"/>
        <v>-17800</v>
      </c>
    </row>
    <row r="194" spans="1:13" ht="47.25">
      <c r="A194" s="249"/>
      <c r="B194" s="250" t="s">
        <v>180</v>
      </c>
      <c r="C194" s="265">
        <f>C195+C196+C197+C198+C199</f>
        <v>17800</v>
      </c>
      <c r="D194" s="265">
        <f aca="true" t="shared" si="36" ref="D194:J194">D195+D196+D197+D198+D199</f>
        <v>0</v>
      </c>
      <c r="E194" s="265">
        <f t="shared" si="36"/>
        <v>0</v>
      </c>
      <c r="F194" s="265">
        <f t="shared" si="36"/>
        <v>0</v>
      </c>
      <c r="G194" s="265">
        <f t="shared" si="36"/>
        <v>0</v>
      </c>
      <c r="H194" s="265">
        <f t="shared" si="36"/>
        <v>0</v>
      </c>
      <c r="I194" s="265">
        <f t="shared" si="36"/>
        <v>0</v>
      </c>
      <c r="J194" s="265">
        <f t="shared" si="36"/>
        <v>0</v>
      </c>
      <c r="K194" s="266">
        <f t="shared" si="21"/>
        <v>0</v>
      </c>
      <c r="L194" s="265">
        <f>L195+L196+L197+L198+L199</f>
        <v>0</v>
      </c>
      <c r="M194" s="266">
        <f t="shared" si="22"/>
        <v>17800</v>
      </c>
    </row>
    <row r="195" spans="1:13" ht="31.5">
      <c r="A195" s="224" t="s">
        <v>3</v>
      </c>
      <c r="B195" s="39" t="s">
        <v>181</v>
      </c>
      <c r="C195" s="211">
        <v>17800</v>
      </c>
      <c r="D195" s="211">
        <f>0</f>
        <v>0</v>
      </c>
      <c r="E195" s="211">
        <f>0</f>
        <v>0</v>
      </c>
      <c r="F195" s="211">
        <f>0</f>
        <v>0</v>
      </c>
      <c r="G195" s="211">
        <f>0</f>
        <v>0</v>
      </c>
      <c r="H195" s="211">
        <f>0</f>
        <v>0</v>
      </c>
      <c r="I195" s="211">
        <f>0</f>
        <v>0</v>
      </c>
      <c r="J195" s="211">
        <f>0</f>
        <v>0</v>
      </c>
      <c r="K195" s="262">
        <f t="shared" si="21"/>
        <v>0</v>
      </c>
      <c r="L195" s="211">
        <f>0</f>
        <v>0</v>
      </c>
      <c r="M195" s="262">
        <f t="shared" si="22"/>
        <v>17800</v>
      </c>
    </row>
    <row r="196" spans="1:13" ht="47.25">
      <c r="A196" s="210" t="s">
        <v>0</v>
      </c>
      <c r="B196" s="41" t="s">
        <v>182</v>
      </c>
      <c r="C196" s="211">
        <v>0</v>
      </c>
      <c r="D196" s="211">
        <v>0</v>
      </c>
      <c r="E196" s="211">
        <v>0</v>
      </c>
      <c r="F196" s="211">
        <v>0</v>
      </c>
      <c r="G196" s="211">
        <v>0</v>
      </c>
      <c r="H196" s="211">
        <v>0</v>
      </c>
      <c r="I196" s="211">
        <v>0</v>
      </c>
      <c r="J196" s="211">
        <v>0</v>
      </c>
      <c r="K196" s="262">
        <f t="shared" si="21"/>
        <v>0</v>
      </c>
      <c r="L196" s="211">
        <v>0</v>
      </c>
      <c r="M196" s="262">
        <f t="shared" si="22"/>
        <v>0</v>
      </c>
    </row>
    <row r="197" spans="1:13" ht="63">
      <c r="A197" s="225" t="s">
        <v>5</v>
      </c>
      <c r="B197" s="41" t="s">
        <v>10</v>
      </c>
      <c r="C197" s="211">
        <v>0</v>
      </c>
      <c r="D197" s="211">
        <v>0</v>
      </c>
      <c r="E197" s="211">
        <v>0</v>
      </c>
      <c r="F197" s="211">
        <v>0</v>
      </c>
      <c r="G197" s="211">
        <v>0</v>
      </c>
      <c r="H197" s="211">
        <v>0</v>
      </c>
      <c r="I197" s="211">
        <v>0</v>
      </c>
      <c r="J197" s="211">
        <v>0</v>
      </c>
      <c r="K197" s="262">
        <f t="shared" si="21"/>
        <v>0</v>
      </c>
      <c r="L197" s="211">
        <v>0</v>
      </c>
      <c r="M197" s="262">
        <f t="shared" si="22"/>
        <v>0</v>
      </c>
    </row>
    <row r="198" spans="1:13" ht="63">
      <c r="A198" s="225" t="s">
        <v>183</v>
      </c>
      <c r="B198" s="41" t="s">
        <v>4</v>
      </c>
      <c r="C198" s="211">
        <v>0</v>
      </c>
      <c r="D198" s="211">
        <v>0</v>
      </c>
      <c r="E198" s="211">
        <v>0</v>
      </c>
      <c r="F198" s="211">
        <v>0</v>
      </c>
      <c r="G198" s="211">
        <v>0</v>
      </c>
      <c r="H198" s="211">
        <v>0</v>
      </c>
      <c r="I198" s="211">
        <v>0</v>
      </c>
      <c r="J198" s="211">
        <v>0</v>
      </c>
      <c r="K198" s="262">
        <f t="shared" si="21"/>
        <v>0</v>
      </c>
      <c r="L198" s="211">
        <v>0</v>
      </c>
      <c r="M198" s="262">
        <f t="shared" si="22"/>
        <v>0</v>
      </c>
    </row>
    <row r="199" spans="1:13" ht="15.75">
      <c r="A199" s="210"/>
      <c r="B199" s="40" t="s">
        <v>184</v>
      </c>
      <c r="C199" s="211">
        <v>0</v>
      </c>
      <c r="D199" s="211">
        <v>0</v>
      </c>
      <c r="E199" s="211">
        <v>0</v>
      </c>
      <c r="F199" s="211">
        <v>0</v>
      </c>
      <c r="G199" s="211">
        <v>0</v>
      </c>
      <c r="H199" s="211">
        <v>0</v>
      </c>
      <c r="I199" s="211">
        <v>0</v>
      </c>
      <c r="J199" s="211">
        <v>0</v>
      </c>
      <c r="K199" s="262">
        <f t="shared" si="21"/>
        <v>0</v>
      </c>
      <c r="L199" s="211">
        <v>0</v>
      </c>
      <c r="M199" s="262">
        <f t="shared" si="22"/>
        <v>0</v>
      </c>
    </row>
    <row r="200" spans="1:3" ht="15.75">
      <c r="A200" s="251"/>
      <c r="B200" s="252"/>
      <c r="C200" s="253"/>
    </row>
    <row r="201" spans="1:3" ht="15.75">
      <c r="A201" s="251"/>
      <c r="B201" s="252"/>
      <c r="C201" s="253"/>
    </row>
    <row r="202" spans="1:3" ht="15.75">
      <c r="A202" s="251"/>
      <c r="B202" s="252"/>
      <c r="C202" s="253"/>
    </row>
    <row r="205" spans="1:3" ht="15.75">
      <c r="A205" s="226"/>
      <c r="B205" s="227"/>
      <c r="C205" s="232"/>
    </row>
    <row r="206" spans="1:3" ht="15.75">
      <c r="A206" s="226"/>
      <c r="B206" s="227"/>
      <c r="C206" s="232"/>
    </row>
  </sheetData>
  <sheetProtection/>
  <mergeCells count="2">
    <mergeCell ref="A3:M3"/>
    <mergeCell ref="A31:A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M201"/>
  <sheetViews>
    <sheetView tabSelected="1" zoomScalePageLayoutView="0" workbookViewId="0" topLeftCell="B1">
      <selection activeCell="D5" sqref="D5"/>
    </sheetView>
  </sheetViews>
  <sheetFormatPr defaultColWidth="9.140625" defaultRowHeight="12.75"/>
  <cols>
    <col min="1" max="1" width="17.140625" style="228" customWidth="1"/>
    <col min="2" max="2" width="41.8515625" style="229" customWidth="1"/>
    <col min="3" max="3" width="11.140625" style="233" customWidth="1"/>
    <col min="4" max="4" width="11.28125" style="201" customWidth="1"/>
    <col min="5" max="5" width="9.57421875" style="201" customWidth="1"/>
    <col min="6" max="6" width="9.8515625" style="201" customWidth="1"/>
    <col min="7" max="7" width="8.7109375" style="201" customWidth="1"/>
    <col min="8" max="8" width="8.57421875" style="201" customWidth="1"/>
    <col min="9" max="9" width="8.421875" style="201" customWidth="1"/>
    <col min="10" max="10" width="9.28125" style="201" customWidth="1"/>
    <col min="11" max="11" width="11.421875" style="231" customWidth="1"/>
    <col min="12" max="12" width="13.57421875" style="231" customWidth="1"/>
    <col min="13" max="13" width="11.8515625" style="231" customWidth="1"/>
    <col min="14" max="16384" width="9.140625" style="201" customWidth="1"/>
  </cols>
  <sheetData>
    <row r="2" spans="1:3" ht="15.75">
      <c r="A2" s="201"/>
      <c r="B2" s="201"/>
      <c r="C2" s="231"/>
    </row>
    <row r="3" spans="1:13" s="246" customFormat="1" ht="42.75" customHeight="1">
      <c r="A3" s="242" t="s">
        <v>351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246" customFormat="1" ht="110.25">
      <c r="A4" s="243" t="s">
        <v>190</v>
      </c>
      <c r="B4" s="243" t="s">
        <v>58</v>
      </c>
      <c r="C4" s="234" t="s">
        <v>283</v>
      </c>
      <c r="D4" s="202" t="s">
        <v>208</v>
      </c>
      <c r="E4" s="202" t="s">
        <v>209</v>
      </c>
      <c r="F4" s="202" t="s">
        <v>210</v>
      </c>
      <c r="G4" s="202" t="s">
        <v>211</v>
      </c>
      <c r="H4" s="202" t="s">
        <v>212</v>
      </c>
      <c r="I4" s="202" t="s">
        <v>213</v>
      </c>
      <c r="J4" s="202" t="s">
        <v>214</v>
      </c>
      <c r="K4" s="212" t="s">
        <v>200</v>
      </c>
      <c r="L4" s="212" t="s">
        <v>56</v>
      </c>
      <c r="M4" s="240" t="s">
        <v>215</v>
      </c>
    </row>
    <row r="5" spans="1:13" s="247" customFormat="1" ht="15.75">
      <c r="A5" s="203">
        <v>1</v>
      </c>
      <c r="B5" s="203">
        <v>2</v>
      </c>
      <c r="C5" s="205">
        <v>4</v>
      </c>
      <c r="D5" s="230">
        <v>5</v>
      </c>
      <c r="E5" s="230">
        <v>6</v>
      </c>
      <c r="F5" s="230">
        <v>7</v>
      </c>
      <c r="G5" s="230">
        <v>8</v>
      </c>
      <c r="H5" s="230">
        <v>9</v>
      </c>
      <c r="I5" s="230">
        <v>10</v>
      </c>
      <c r="J5" s="230">
        <v>11</v>
      </c>
      <c r="K5" s="230">
        <v>12</v>
      </c>
      <c r="L5" s="230">
        <v>13</v>
      </c>
      <c r="M5" s="230">
        <v>14</v>
      </c>
    </row>
    <row r="6" spans="1:13" s="246" customFormat="1" ht="31.5">
      <c r="A6" s="206" t="s">
        <v>59</v>
      </c>
      <c r="B6" s="207" t="s">
        <v>60</v>
      </c>
      <c r="C6" s="267">
        <f>C7+C8+C9+C10+C13+C17+C18+C19</f>
        <v>38032</v>
      </c>
      <c r="D6" s="267">
        <f aca="true" t="shared" si="0" ref="D6:J6">D7+D8+D9+D10+D13+D17+D18+D19</f>
        <v>1870</v>
      </c>
      <c r="E6" s="267">
        <f t="shared" si="0"/>
        <v>3471.6</v>
      </c>
      <c r="F6" s="267">
        <f t="shared" si="0"/>
        <v>3156.4</v>
      </c>
      <c r="G6" s="267">
        <f t="shared" si="0"/>
        <v>2184.5</v>
      </c>
      <c r="H6" s="267">
        <f t="shared" si="0"/>
        <v>3285.1</v>
      </c>
      <c r="I6" s="267">
        <f t="shared" si="0"/>
        <v>2600</v>
      </c>
      <c r="J6" s="267">
        <f t="shared" si="0"/>
        <v>2947.6</v>
      </c>
      <c r="K6" s="268">
        <f>SUM(D6:J6)</f>
        <v>19515.199999999997</v>
      </c>
      <c r="L6" s="267">
        <f>L7+L8+L9+L10+L13+L17+L18+L19</f>
        <v>191</v>
      </c>
      <c r="M6" s="268">
        <f>K6+C6-L6</f>
        <v>57356.2</v>
      </c>
    </row>
    <row r="7" spans="1:13" s="246" customFormat="1" ht="47.25">
      <c r="A7" s="204" t="s">
        <v>61</v>
      </c>
      <c r="B7" s="212" t="s">
        <v>249</v>
      </c>
      <c r="C7" s="269">
        <v>1633.9</v>
      </c>
      <c r="D7" s="269">
        <v>0</v>
      </c>
      <c r="E7" s="269">
        <v>0</v>
      </c>
      <c r="F7" s="269">
        <v>0</v>
      </c>
      <c r="G7" s="269">
        <v>0</v>
      </c>
      <c r="H7" s="269">
        <v>0</v>
      </c>
      <c r="I7" s="269">
        <v>0</v>
      </c>
      <c r="J7" s="269">
        <v>0</v>
      </c>
      <c r="K7" s="268">
        <f aca="true" t="shared" si="1" ref="K7:K70">SUM(D7:J7)</f>
        <v>0</v>
      </c>
      <c r="L7" s="269"/>
      <c r="M7" s="268">
        <f aca="true" t="shared" si="2" ref="M7:M70">K7+C7-L7</f>
        <v>1633.9</v>
      </c>
    </row>
    <row r="8" spans="1:13" s="246" customFormat="1" ht="15.75" hidden="1">
      <c r="A8" s="204" t="s">
        <v>62</v>
      </c>
      <c r="B8" s="212" t="s">
        <v>63</v>
      </c>
      <c r="C8" s="270">
        <f>0</f>
        <v>0</v>
      </c>
      <c r="D8" s="270">
        <f>0</f>
        <v>0</v>
      </c>
      <c r="E8" s="270">
        <f>0</f>
        <v>0</v>
      </c>
      <c r="F8" s="270">
        <f>0</f>
        <v>0</v>
      </c>
      <c r="G8" s="270">
        <f>0</f>
        <v>0</v>
      </c>
      <c r="H8" s="270">
        <f>0</f>
        <v>0</v>
      </c>
      <c r="I8" s="270">
        <f>0</f>
        <v>0</v>
      </c>
      <c r="J8" s="270">
        <f>0</f>
        <v>0</v>
      </c>
      <c r="K8" s="268">
        <f t="shared" si="1"/>
        <v>0</v>
      </c>
      <c r="L8" s="270"/>
      <c r="M8" s="268">
        <f t="shared" si="2"/>
        <v>0</v>
      </c>
    </row>
    <row r="9" spans="1:13" s="246" customFormat="1" ht="15.75" hidden="1">
      <c r="A9" s="204"/>
      <c r="B9" s="212"/>
      <c r="C9" s="270"/>
      <c r="D9" s="270"/>
      <c r="E9" s="270"/>
      <c r="F9" s="270"/>
      <c r="G9" s="270"/>
      <c r="H9" s="270"/>
      <c r="I9" s="270"/>
      <c r="J9" s="270"/>
      <c r="K9" s="268">
        <f t="shared" si="1"/>
        <v>0</v>
      </c>
      <c r="L9" s="270"/>
      <c r="M9" s="268">
        <f t="shared" si="2"/>
        <v>0</v>
      </c>
    </row>
    <row r="10" spans="1:13" s="246" customFormat="1" ht="31.5">
      <c r="A10" s="204" t="s">
        <v>64</v>
      </c>
      <c r="B10" s="212" t="s">
        <v>250</v>
      </c>
      <c r="C10" s="270">
        <v>16786.2</v>
      </c>
      <c r="D10" s="270">
        <v>0</v>
      </c>
      <c r="E10" s="270">
        <v>3381.6</v>
      </c>
      <c r="F10" s="270">
        <v>3086.4</v>
      </c>
      <c r="G10" s="270">
        <v>2104.5</v>
      </c>
      <c r="H10" s="270">
        <v>3131.9</v>
      </c>
      <c r="I10" s="270">
        <v>2546.8</v>
      </c>
      <c r="J10" s="270">
        <v>2842.9</v>
      </c>
      <c r="K10" s="268">
        <f t="shared" si="1"/>
        <v>17094.100000000002</v>
      </c>
      <c r="L10" s="270"/>
      <c r="M10" s="268">
        <f t="shared" si="2"/>
        <v>33880.3</v>
      </c>
    </row>
    <row r="11" spans="1:13" s="246" customFormat="1" ht="15.75" hidden="1">
      <c r="A11" s="204"/>
      <c r="B11" s="212" t="s">
        <v>65</v>
      </c>
      <c r="C11" s="270"/>
      <c r="D11" s="270"/>
      <c r="E11" s="270"/>
      <c r="F11" s="270"/>
      <c r="G11" s="270"/>
      <c r="H11" s="270"/>
      <c r="I11" s="270"/>
      <c r="J11" s="270"/>
      <c r="K11" s="268">
        <f t="shared" si="1"/>
        <v>0</v>
      </c>
      <c r="L11" s="270"/>
      <c r="M11" s="268">
        <f t="shared" si="2"/>
        <v>0</v>
      </c>
    </row>
    <row r="12" spans="1:13" s="246" customFormat="1" ht="31.5" hidden="1">
      <c r="A12" s="204"/>
      <c r="B12" s="212" t="s">
        <v>66</v>
      </c>
      <c r="C12" s="270">
        <f>0</f>
        <v>0</v>
      </c>
      <c r="D12" s="270">
        <f>0</f>
        <v>0</v>
      </c>
      <c r="E12" s="270">
        <f>0</f>
        <v>0</v>
      </c>
      <c r="F12" s="270">
        <f>0</f>
        <v>0</v>
      </c>
      <c r="G12" s="270">
        <f>0</f>
        <v>0</v>
      </c>
      <c r="H12" s="270">
        <f>0</f>
        <v>0</v>
      </c>
      <c r="I12" s="270">
        <f>0</f>
        <v>0</v>
      </c>
      <c r="J12" s="270">
        <f>0</f>
        <v>0</v>
      </c>
      <c r="K12" s="268">
        <f t="shared" si="1"/>
        <v>0</v>
      </c>
      <c r="L12" s="270">
        <f>0</f>
        <v>0</v>
      </c>
      <c r="M12" s="268">
        <f t="shared" si="2"/>
        <v>0</v>
      </c>
    </row>
    <row r="13" spans="1:13" s="246" customFormat="1" ht="47.25">
      <c r="A13" s="204" t="s">
        <v>67</v>
      </c>
      <c r="B13" s="212" t="s">
        <v>251</v>
      </c>
      <c r="C13" s="270">
        <f>C14+C15+C16</f>
        <v>8109</v>
      </c>
      <c r="D13" s="270">
        <f aca="true" t="shared" si="3" ref="D13:J13">D14+D15+D16</f>
        <v>0</v>
      </c>
      <c r="E13" s="270">
        <f t="shared" si="3"/>
        <v>35</v>
      </c>
      <c r="F13" s="270">
        <f t="shared" si="3"/>
        <v>35</v>
      </c>
      <c r="G13" s="270">
        <f t="shared" si="3"/>
        <v>25</v>
      </c>
      <c r="H13" s="270">
        <f t="shared" si="3"/>
        <v>38</v>
      </c>
      <c r="I13" s="270">
        <f t="shared" si="3"/>
        <v>28</v>
      </c>
      <c r="J13" s="270">
        <f t="shared" si="3"/>
        <v>30</v>
      </c>
      <c r="K13" s="268">
        <f t="shared" si="1"/>
        <v>191</v>
      </c>
      <c r="L13" s="270">
        <f>L14+L15+L16</f>
        <v>191</v>
      </c>
      <c r="M13" s="268">
        <f t="shared" si="2"/>
        <v>8109</v>
      </c>
    </row>
    <row r="14" spans="1:13" ht="47.25">
      <c r="A14" s="210"/>
      <c r="B14" s="39" t="s">
        <v>68</v>
      </c>
      <c r="C14" s="271">
        <v>7367.7</v>
      </c>
      <c r="D14" s="271">
        <v>0</v>
      </c>
      <c r="E14" s="271">
        <v>0</v>
      </c>
      <c r="F14" s="271">
        <v>0</v>
      </c>
      <c r="G14" s="271">
        <v>0</v>
      </c>
      <c r="H14" s="271">
        <v>0</v>
      </c>
      <c r="I14" s="271">
        <v>0</v>
      </c>
      <c r="J14" s="271">
        <v>0</v>
      </c>
      <c r="K14" s="272">
        <f t="shared" si="1"/>
        <v>0</v>
      </c>
      <c r="L14" s="271"/>
      <c r="M14" s="272">
        <f t="shared" si="2"/>
        <v>7367.7</v>
      </c>
    </row>
    <row r="15" spans="1:13" ht="15.75">
      <c r="A15" s="210"/>
      <c r="B15" s="39" t="s">
        <v>69</v>
      </c>
      <c r="C15" s="271">
        <v>191</v>
      </c>
      <c r="D15" s="271">
        <v>0</v>
      </c>
      <c r="E15" s="271">
        <v>35</v>
      </c>
      <c r="F15" s="271">
        <v>35</v>
      </c>
      <c r="G15" s="271">
        <v>25</v>
      </c>
      <c r="H15" s="271">
        <v>38</v>
      </c>
      <c r="I15" s="271">
        <v>28</v>
      </c>
      <c r="J15" s="271">
        <v>30</v>
      </c>
      <c r="K15" s="272">
        <f t="shared" si="1"/>
        <v>191</v>
      </c>
      <c r="L15" s="271">
        <f>K15</f>
        <v>191</v>
      </c>
      <c r="M15" s="272">
        <f t="shared" si="2"/>
        <v>191</v>
      </c>
    </row>
    <row r="16" spans="1:13" ht="47.25">
      <c r="A16" s="210"/>
      <c r="B16" s="39" t="s">
        <v>252</v>
      </c>
      <c r="C16" s="271">
        <v>550.3</v>
      </c>
      <c r="D16" s="271">
        <v>0</v>
      </c>
      <c r="E16" s="271">
        <v>0</v>
      </c>
      <c r="F16" s="271">
        <v>0</v>
      </c>
      <c r="G16" s="271">
        <v>0</v>
      </c>
      <c r="H16" s="271">
        <v>0</v>
      </c>
      <c r="I16" s="271">
        <v>0</v>
      </c>
      <c r="J16" s="271">
        <v>0</v>
      </c>
      <c r="K16" s="272">
        <f t="shared" si="1"/>
        <v>0</v>
      </c>
      <c r="L16" s="271"/>
      <c r="M16" s="272">
        <f t="shared" si="2"/>
        <v>550.3</v>
      </c>
    </row>
    <row r="17" spans="1:13" ht="31.5" hidden="1">
      <c r="A17" s="210" t="s">
        <v>70</v>
      </c>
      <c r="B17" s="39" t="s">
        <v>71</v>
      </c>
      <c r="C17" s="271">
        <v>0</v>
      </c>
      <c r="D17" s="271">
        <v>0</v>
      </c>
      <c r="E17" s="271">
        <v>0</v>
      </c>
      <c r="F17" s="271">
        <v>0</v>
      </c>
      <c r="G17" s="271">
        <v>0</v>
      </c>
      <c r="H17" s="271">
        <v>0</v>
      </c>
      <c r="I17" s="271">
        <v>0</v>
      </c>
      <c r="J17" s="271">
        <v>0</v>
      </c>
      <c r="K17" s="272">
        <f t="shared" si="1"/>
        <v>0</v>
      </c>
      <c r="L17" s="271">
        <v>0</v>
      </c>
      <c r="M17" s="272">
        <f t="shared" si="2"/>
        <v>0</v>
      </c>
    </row>
    <row r="18" spans="1:13" s="246" customFormat="1" ht="15.75">
      <c r="A18" s="204" t="s">
        <v>72</v>
      </c>
      <c r="B18" s="212" t="s">
        <v>73</v>
      </c>
      <c r="C18" s="270">
        <v>100</v>
      </c>
      <c r="D18" s="270">
        <v>100</v>
      </c>
      <c r="E18" s="270">
        <v>50</v>
      </c>
      <c r="F18" s="270">
        <v>30</v>
      </c>
      <c r="G18" s="270">
        <v>50</v>
      </c>
      <c r="H18" s="270">
        <v>50</v>
      </c>
      <c r="I18" s="270">
        <v>20</v>
      </c>
      <c r="J18" s="270">
        <v>20</v>
      </c>
      <c r="K18" s="268">
        <f t="shared" si="1"/>
        <v>320</v>
      </c>
      <c r="L18" s="270"/>
      <c r="M18" s="268">
        <f t="shared" si="2"/>
        <v>420</v>
      </c>
    </row>
    <row r="19" spans="1:13" s="246" customFormat="1" ht="31.5">
      <c r="A19" s="204" t="s">
        <v>74</v>
      </c>
      <c r="B19" s="212" t="s">
        <v>284</v>
      </c>
      <c r="C19" s="270">
        <f>C20+C21+C22+C24+C25+C27+C28+C29+C30+C32+C33+0.1</f>
        <v>11402.9</v>
      </c>
      <c r="D19" s="270">
        <f>D20+D21+D22+D24+D25+D27+D28+D29+D30+D32+D33</f>
        <v>1770</v>
      </c>
      <c r="E19" s="270">
        <f>E20+E21+E22+E24+E25+E27+E28+E29+E30+E32+E33</f>
        <v>5</v>
      </c>
      <c r="F19" s="270">
        <f>F20+F21+F22+F24+F25+F27+F28+F29+F30+F32+F33</f>
        <v>5</v>
      </c>
      <c r="G19" s="270">
        <f>G20+G21+G22+G24+G25+G27+G28+G29+G30+G32+G33</f>
        <v>5</v>
      </c>
      <c r="H19" s="270">
        <f>H20+H21+H22+H24+H25+H27+H28+H29+H30+H32+H33</f>
        <v>65.2</v>
      </c>
      <c r="I19" s="270">
        <f>I20+I21+I22+I24+I25+I27+I28+I29+I30+I32+I33</f>
        <v>5.2</v>
      </c>
      <c r="J19" s="270">
        <f>J20+J21+J22+J24+J25+J27+J28+J29+J30+J32+J33</f>
        <v>54.7</v>
      </c>
      <c r="K19" s="268">
        <f t="shared" si="1"/>
        <v>1910.1000000000001</v>
      </c>
      <c r="L19" s="270">
        <f>L20+L21+L22+L24+L25+L27+L28+L29+L30+L32+L33</f>
        <v>0</v>
      </c>
      <c r="M19" s="268">
        <f t="shared" si="2"/>
        <v>13313</v>
      </c>
    </row>
    <row r="20" spans="1:13" ht="31.5">
      <c r="A20" s="210"/>
      <c r="B20" s="39" t="s">
        <v>216</v>
      </c>
      <c r="C20" s="271">
        <v>0</v>
      </c>
      <c r="D20" s="271">
        <v>290</v>
      </c>
      <c r="E20" s="271">
        <v>0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72">
        <f t="shared" si="1"/>
        <v>290</v>
      </c>
      <c r="L20" s="271">
        <v>0</v>
      </c>
      <c r="M20" s="272">
        <f t="shared" si="2"/>
        <v>290</v>
      </c>
    </row>
    <row r="21" spans="1:13" ht="47.25">
      <c r="A21" s="210"/>
      <c r="B21" s="235" t="s">
        <v>350</v>
      </c>
      <c r="C21" s="271">
        <v>0</v>
      </c>
      <c r="D21" s="271">
        <v>0</v>
      </c>
      <c r="E21" s="271">
        <v>0</v>
      </c>
      <c r="F21" s="271">
        <v>0</v>
      </c>
      <c r="G21" s="271">
        <v>0</v>
      </c>
      <c r="H21" s="271">
        <v>15</v>
      </c>
      <c r="I21" s="271">
        <v>0</v>
      </c>
      <c r="J21" s="271">
        <v>10</v>
      </c>
      <c r="K21" s="272">
        <f t="shared" si="1"/>
        <v>25</v>
      </c>
      <c r="L21" s="271"/>
      <c r="M21" s="272">
        <f t="shared" si="2"/>
        <v>25</v>
      </c>
    </row>
    <row r="22" spans="1:13" ht="63">
      <c r="A22" s="210"/>
      <c r="B22" s="39" t="s">
        <v>253</v>
      </c>
      <c r="C22" s="271">
        <v>5022.9</v>
      </c>
      <c r="D22" s="271">
        <v>890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K22" s="272">
        <f t="shared" si="1"/>
        <v>890</v>
      </c>
      <c r="L22" s="271"/>
      <c r="M22" s="272">
        <f t="shared" si="2"/>
        <v>5912.9</v>
      </c>
    </row>
    <row r="23" spans="1:13" ht="15.75" hidden="1">
      <c r="A23" s="210"/>
      <c r="B23" s="41" t="s">
        <v>75</v>
      </c>
      <c r="C23" s="271">
        <v>23</v>
      </c>
      <c r="D23" s="271">
        <v>0</v>
      </c>
      <c r="E23" s="271">
        <v>0</v>
      </c>
      <c r="F23" s="271">
        <v>0</v>
      </c>
      <c r="G23" s="271">
        <v>0</v>
      </c>
      <c r="H23" s="271">
        <v>0</v>
      </c>
      <c r="I23" s="271">
        <v>0</v>
      </c>
      <c r="J23" s="271">
        <v>0</v>
      </c>
      <c r="K23" s="272">
        <f t="shared" si="1"/>
        <v>0</v>
      </c>
      <c r="L23" s="271"/>
      <c r="M23" s="272">
        <f t="shared" si="2"/>
        <v>23</v>
      </c>
    </row>
    <row r="24" spans="1:13" ht="94.5">
      <c r="A24" s="210"/>
      <c r="B24" s="39" t="s">
        <v>76</v>
      </c>
      <c r="C24" s="271">
        <v>0</v>
      </c>
      <c r="D24" s="271">
        <v>0</v>
      </c>
      <c r="E24" s="271">
        <v>0</v>
      </c>
      <c r="F24" s="271">
        <v>0</v>
      </c>
      <c r="G24" s="271">
        <v>0</v>
      </c>
      <c r="H24" s="271">
        <v>0</v>
      </c>
      <c r="I24" s="271">
        <v>0</v>
      </c>
      <c r="J24" s="271">
        <v>0</v>
      </c>
      <c r="K24" s="272">
        <f t="shared" si="1"/>
        <v>0</v>
      </c>
      <c r="L24" s="271"/>
      <c r="M24" s="272">
        <f t="shared" si="2"/>
        <v>0</v>
      </c>
    </row>
    <row r="25" spans="1:13" ht="63">
      <c r="A25" s="210"/>
      <c r="B25" s="39" t="s">
        <v>254</v>
      </c>
      <c r="C25" s="271">
        <v>2705</v>
      </c>
      <c r="D25" s="271">
        <v>0</v>
      </c>
      <c r="E25" s="271">
        <v>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2">
        <f t="shared" si="1"/>
        <v>0</v>
      </c>
      <c r="L25" s="271"/>
      <c r="M25" s="272">
        <f t="shared" si="2"/>
        <v>2705</v>
      </c>
    </row>
    <row r="26" spans="1:13" ht="15.75" hidden="1">
      <c r="A26" s="210"/>
      <c r="B26" s="41" t="s">
        <v>75</v>
      </c>
      <c r="C26" s="271">
        <f>0</f>
        <v>0</v>
      </c>
      <c r="D26" s="271">
        <f>0</f>
        <v>0</v>
      </c>
      <c r="E26" s="271">
        <f>0</f>
        <v>0</v>
      </c>
      <c r="F26" s="271">
        <f>0</f>
        <v>0</v>
      </c>
      <c r="G26" s="271">
        <f>0</f>
        <v>0</v>
      </c>
      <c r="H26" s="271">
        <v>0</v>
      </c>
      <c r="I26" s="271">
        <f>0</f>
        <v>0</v>
      </c>
      <c r="J26" s="271">
        <f>0</f>
        <v>0</v>
      </c>
      <c r="K26" s="272">
        <f t="shared" si="1"/>
        <v>0</v>
      </c>
      <c r="L26" s="271"/>
      <c r="M26" s="272">
        <f t="shared" si="2"/>
        <v>0</v>
      </c>
    </row>
    <row r="27" spans="1:13" ht="47.25">
      <c r="A27" s="210"/>
      <c r="B27" s="39" t="s">
        <v>255</v>
      </c>
      <c r="C27" s="271">
        <v>140.3</v>
      </c>
      <c r="D27" s="271">
        <v>50</v>
      </c>
      <c r="E27" s="271">
        <v>5</v>
      </c>
      <c r="F27" s="271">
        <v>5</v>
      </c>
      <c r="G27" s="271">
        <v>5</v>
      </c>
      <c r="H27" s="271">
        <v>5.2</v>
      </c>
      <c r="I27" s="271">
        <v>5.2</v>
      </c>
      <c r="J27" s="271">
        <v>4.7</v>
      </c>
      <c r="K27" s="272">
        <f t="shared" si="1"/>
        <v>80.10000000000001</v>
      </c>
      <c r="L27" s="271"/>
      <c r="M27" s="272">
        <f t="shared" si="2"/>
        <v>220.40000000000003</v>
      </c>
    </row>
    <row r="28" spans="1:13" ht="31.5">
      <c r="A28" s="210"/>
      <c r="B28" s="39" t="s">
        <v>234</v>
      </c>
      <c r="C28" s="271">
        <v>50</v>
      </c>
      <c r="D28" s="271">
        <v>540</v>
      </c>
      <c r="E28" s="271">
        <v>0</v>
      </c>
      <c r="F28" s="271">
        <v>0</v>
      </c>
      <c r="G28" s="271">
        <v>0</v>
      </c>
      <c r="H28" s="271">
        <v>0</v>
      </c>
      <c r="I28" s="271">
        <v>0</v>
      </c>
      <c r="J28" s="271">
        <v>0</v>
      </c>
      <c r="K28" s="272">
        <f t="shared" si="1"/>
        <v>540</v>
      </c>
      <c r="L28" s="271"/>
      <c r="M28" s="272">
        <f t="shared" si="2"/>
        <v>590</v>
      </c>
    </row>
    <row r="29" spans="1:13" ht="47.25">
      <c r="A29" s="210"/>
      <c r="B29" s="39" t="s">
        <v>256</v>
      </c>
      <c r="C29" s="271">
        <v>50</v>
      </c>
      <c r="D29" s="271">
        <v>0</v>
      </c>
      <c r="E29" s="271">
        <v>0</v>
      </c>
      <c r="F29" s="271">
        <v>0</v>
      </c>
      <c r="G29" s="271">
        <v>0</v>
      </c>
      <c r="H29" s="271">
        <v>45</v>
      </c>
      <c r="I29" s="271">
        <v>0</v>
      </c>
      <c r="J29" s="271">
        <v>40</v>
      </c>
      <c r="K29" s="272">
        <f t="shared" si="1"/>
        <v>85</v>
      </c>
      <c r="L29" s="271"/>
      <c r="M29" s="272">
        <f t="shared" si="2"/>
        <v>135</v>
      </c>
    </row>
    <row r="30" spans="1:13" ht="47.25">
      <c r="A30" s="210"/>
      <c r="B30" s="39" t="s">
        <v>285</v>
      </c>
      <c r="C30" s="271">
        <v>3434.6</v>
      </c>
      <c r="D30" s="271">
        <v>0</v>
      </c>
      <c r="E30" s="271">
        <v>0</v>
      </c>
      <c r="F30" s="271">
        <v>0</v>
      </c>
      <c r="G30" s="271">
        <v>0</v>
      </c>
      <c r="H30" s="271">
        <v>0</v>
      </c>
      <c r="I30" s="271">
        <v>0</v>
      </c>
      <c r="J30" s="271">
        <v>0</v>
      </c>
      <c r="K30" s="272">
        <f t="shared" si="1"/>
        <v>0</v>
      </c>
      <c r="L30" s="271"/>
      <c r="M30" s="272">
        <f t="shared" si="2"/>
        <v>3434.6</v>
      </c>
    </row>
    <row r="31" spans="1:13" ht="31.5">
      <c r="A31" s="214"/>
      <c r="B31" s="254" t="s">
        <v>286</v>
      </c>
      <c r="C31" s="271">
        <v>659.9</v>
      </c>
      <c r="D31" s="271">
        <v>0</v>
      </c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  <c r="K31" s="272">
        <f t="shared" si="1"/>
        <v>0</v>
      </c>
      <c r="L31" s="271"/>
      <c r="M31" s="272">
        <f t="shared" si="2"/>
        <v>659.9</v>
      </c>
    </row>
    <row r="32" spans="1:13" ht="63" hidden="1">
      <c r="A32" s="215"/>
      <c r="B32" s="41" t="s">
        <v>77</v>
      </c>
      <c r="C32" s="271">
        <v>0</v>
      </c>
      <c r="D32" s="271">
        <v>0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1">
        <v>0</v>
      </c>
      <c r="K32" s="272">
        <f t="shared" si="1"/>
        <v>0</v>
      </c>
      <c r="L32" s="271"/>
      <c r="M32" s="272">
        <f t="shared" si="2"/>
        <v>0</v>
      </c>
    </row>
    <row r="33" spans="1:13" ht="31.5" hidden="1">
      <c r="A33" s="210"/>
      <c r="B33" s="41" t="s">
        <v>12</v>
      </c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1">
        <v>0</v>
      </c>
      <c r="K33" s="272">
        <f t="shared" si="1"/>
        <v>0</v>
      </c>
      <c r="L33" s="271"/>
      <c r="M33" s="272">
        <f t="shared" si="2"/>
        <v>0</v>
      </c>
    </row>
    <row r="34" spans="1:13" s="246" customFormat="1" ht="15.75">
      <c r="A34" s="204" t="s">
        <v>78</v>
      </c>
      <c r="B34" s="212" t="s">
        <v>79</v>
      </c>
      <c r="C34" s="270">
        <f>C35</f>
        <v>0</v>
      </c>
      <c r="D34" s="270">
        <f aca="true" t="shared" si="4" ref="D34:J34">D35</f>
        <v>0</v>
      </c>
      <c r="E34" s="270">
        <f t="shared" si="4"/>
        <v>206.6</v>
      </c>
      <c r="F34" s="270">
        <f t="shared" si="4"/>
        <v>82.6</v>
      </c>
      <c r="G34" s="270">
        <f t="shared" si="4"/>
        <v>82.6</v>
      </c>
      <c r="H34" s="270">
        <f t="shared" si="4"/>
        <v>206.6</v>
      </c>
      <c r="I34" s="270">
        <f t="shared" si="4"/>
        <v>206.6</v>
      </c>
      <c r="J34" s="270">
        <f t="shared" si="4"/>
        <v>206.6</v>
      </c>
      <c r="K34" s="268">
        <f t="shared" si="1"/>
        <v>991.6</v>
      </c>
      <c r="L34" s="270">
        <f>L35</f>
        <v>0</v>
      </c>
      <c r="M34" s="268">
        <f t="shared" si="2"/>
        <v>991.6</v>
      </c>
    </row>
    <row r="35" spans="1:13" s="246" customFormat="1" ht="31.5">
      <c r="A35" s="204" t="s">
        <v>80</v>
      </c>
      <c r="B35" s="212" t="s">
        <v>81</v>
      </c>
      <c r="C35" s="270">
        <f>0</f>
        <v>0</v>
      </c>
      <c r="D35" s="270">
        <f>0</f>
        <v>0</v>
      </c>
      <c r="E35" s="270">
        <v>206.6</v>
      </c>
      <c r="F35" s="270">
        <v>82.6</v>
      </c>
      <c r="G35" s="270">
        <v>82.6</v>
      </c>
      <c r="H35" s="270">
        <v>206.6</v>
      </c>
      <c r="I35" s="270">
        <v>206.6</v>
      </c>
      <c r="J35" s="270">
        <v>206.6</v>
      </c>
      <c r="K35" s="268">
        <f t="shared" si="1"/>
        <v>991.6</v>
      </c>
      <c r="L35" s="270"/>
      <c r="M35" s="268">
        <f t="shared" si="2"/>
        <v>991.6</v>
      </c>
    </row>
    <row r="36" spans="1:13" s="246" customFormat="1" ht="47.25">
      <c r="A36" s="206" t="s">
        <v>82</v>
      </c>
      <c r="B36" s="207" t="s">
        <v>257</v>
      </c>
      <c r="C36" s="267">
        <f>C37+C44</f>
        <v>0</v>
      </c>
      <c r="D36" s="267">
        <f aca="true" t="shared" si="5" ref="D36:J36">D37+D44</f>
        <v>780</v>
      </c>
      <c r="E36" s="267">
        <f t="shared" si="5"/>
        <v>0</v>
      </c>
      <c r="F36" s="267">
        <f t="shared" si="5"/>
        <v>0</v>
      </c>
      <c r="G36" s="267">
        <f t="shared" si="5"/>
        <v>0</v>
      </c>
      <c r="H36" s="267">
        <f t="shared" si="5"/>
        <v>0</v>
      </c>
      <c r="I36" s="267">
        <f t="shared" si="5"/>
        <v>0</v>
      </c>
      <c r="J36" s="267">
        <f t="shared" si="5"/>
        <v>0</v>
      </c>
      <c r="K36" s="268">
        <f t="shared" si="1"/>
        <v>780</v>
      </c>
      <c r="L36" s="267">
        <f>L37+L44</f>
        <v>0</v>
      </c>
      <c r="M36" s="268">
        <f t="shared" si="2"/>
        <v>780</v>
      </c>
    </row>
    <row r="37" spans="1:13" s="246" customFormat="1" ht="63">
      <c r="A37" s="204" t="s">
        <v>83</v>
      </c>
      <c r="B37" s="212" t="s">
        <v>287</v>
      </c>
      <c r="C37" s="270">
        <f>SUM(C39:C43)</f>
        <v>0</v>
      </c>
      <c r="D37" s="270">
        <f aca="true" t="shared" si="6" ref="D37:J37">SUM(D39:D43)</f>
        <v>780</v>
      </c>
      <c r="E37" s="270">
        <f t="shared" si="6"/>
        <v>0</v>
      </c>
      <c r="F37" s="270">
        <f t="shared" si="6"/>
        <v>0</v>
      </c>
      <c r="G37" s="270">
        <f t="shared" si="6"/>
        <v>0</v>
      </c>
      <c r="H37" s="270">
        <f t="shared" si="6"/>
        <v>0</v>
      </c>
      <c r="I37" s="270">
        <f t="shared" si="6"/>
        <v>0</v>
      </c>
      <c r="J37" s="270">
        <f t="shared" si="6"/>
        <v>0</v>
      </c>
      <c r="K37" s="268">
        <f t="shared" si="1"/>
        <v>780</v>
      </c>
      <c r="L37" s="270"/>
      <c r="M37" s="268">
        <f t="shared" si="2"/>
        <v>780</v>
      </c>
    </row>
    <row r="38" spans="1:13" ht="15.75" hidden="1">
      <c r="A38" s="210"/>
      <c r="B38" s="39" t="s">
        <v>84</v>
      </c>
      <c r="C38" s="271"/>
      <c r="D38" s="271"/>
      <c r="E38" s="271"/>
      <c r="F38" s="271"/>
      <c r="G38" s="271"/>
      <c r="H38" s="271"/>
      <c r="I38" s="271"/>
      <c r="J38" s="271"/>
      <c r="K38" s="272">
        <f t="shared" si="1"/>
        <v>0</v>
      </c>
      <c r="L38" s="271"/>
      <c r="M38" s="272">
        <f t="shared" si="2"/>
        <v>0</v>
      </c>
    </row>
    <row r="39" spans="1:13" ht="157.5" hidden="1">
      <c r="A39" s="210"/>
      <c r="B39" s="39" t="s">
        <v>327</v>
      </c>
      <c r="C39" s="271">
        <v>0</v>
      </c>
      <c r="D39" s="271">
        <v>0</v>
      </c>
      <c r="E39" s="271">
        <v>0</v>
      </c>
      <c r="F39" s="271">
        <v>0</v>
      </c>
      <c r="G39" s="271">
        <v>0</v>
      </c>
      <c r="H39" s="271">
        <v>0</v>
      </c>
      <c r="I39" s="271">
        <v>0</v>
      </c>
      <c r="J39" s="271">
        <v>0</v>
      </c>
      <c r="K39" s="272">
        <f t="shared" si="1"/>
        <v>0</v>
      </c>
      <c r="L39" s="271">
        <v>0</v>
      </c>
      <c r="M39" s="272">
        <f t="shared" si="2"/>
        <v>0</v>
      </c>
    </row>
    <row r="40" spans="1:13" ht="138" customHeight="1">
      <c r="A40" s="210"/>
      <c r="B40" s="236" t="s">
        <v>324</v>
      </c>
      <c r="C40" s="271">
        <v>0</v>
      </c>
      <c r="D40" s="271">
        <v>150</v>
      </c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  <c r="K40" s="272">
        <f t="shared" si="1"/>
        <v>150</v>
      </c>
      <c r="L40" s="271"/>
      <c r="M40" s="272">
        <f t="shared" si="2"/>
        <v>150</v>
      </c>
    </row>
    <row r="41" spans="1:13" ht="189">
      <c r="A41" s="210"/>
      <c r="B41" s="235" t="s">
        <v>325</v>
      </c>
      <c r="C41" s="271">
        <v>0</v>
      </c>
      <c r="D41" s="271">
        <v>620</v>
      </c>
      <c r="E41" s="271">
        <v>0</v>
      </c>
      <c r="F41" s="271">
        <v>0</v>
      </c>
      <c r="G41" s="271">
        <v>0</v>
      </c>
      <c r="H41" s="271">
        <v>0</v>
      </c>
      <c r="I41" s="271">
        <v>0</v>
      </c>
      <c r="J41" s="271">
        <v>0</v>
      </c>
      <c r="K41" s="272">
        <f t="shared" si="1"/>
        <v>620</v>
      </c>
      <c r="L41" s="271"/>
      <c r="M41" s="272">
        <f t="shared" si="2"/>
        <v>620</v>
      </c>
    </row>
    <row r="42" spans="1:13" ht="173.25">
      <c r="A42" s="39"/>
      <c r="B42" s="236" t="s">
        <v>326</v>
      </c>
      <c r="C42" s="271">
        <v>0</v>
      </c>
      <c r="D42" s="271">
        <v>10</v>
      </c>
      <c r="E42" s="271">
        <v>0</v>
      </c>
      <c r="F42" s="271">
        <v>0</v>
      </c>
      <c r="G42" s="271">
        <v>0</v>
      </c>
      <c r="H42" s="271">
        <v>0</v>
      </c>
      <c r="I42" s="271">
        <v>0</v>
      </c>
      <c r="J42" s="271">
        <v>0</v>
      </c>
      <c r="K42" s="272">
        <f t="shared" si="1"/>
        <v>10</v>
      </c>
      <c r="L42" s="271"/>
      <c r="M42" s="272">
        <f t="shared" si="2"/>
        <v>10</v>
      </c>
    </row>
    <row r="43" spans="1:13" ht="157.5" hidden="1">
      <c r="A43" s="210"/>
      <c r="B43" s="39" t="s">
        <v>87</v>
      </c>
      <c r="C43" s="271">
        <v>0</v>
      </c>
      <c r="D43" s="271">
        <v>0</v>
      </c>
      <c r="E43" s="271">
        <v>0</v>
      </c>
      <c r="F43" s="271">
        <v>0</v>
      </c>
      <c r="G43" s="271">
        <v>0</v>
      </c>
      <c r="H43" s="271">
        <v>0</v>
      </c>
      <c r="I43" s="271">
        <v>0</v>
      </c>
      <c r="J43" s="271">
        <v>0</v>
      </c>
      <c r="K43" s="272">
        <f t="shared" si="1"/>
        <v>0</v>
      </c>
      <c r="L43" s="271"/>
      <c r="M43" s="272">
        <f t="shared" si="2"/>
        <v>0</v>
      </c>
    </row>
    <row r="44" spans="1:13" ht="15.75" hidden="1">
      <c r="A44" s="210" t="s">
        <v>89</v>
      </c>
      <c r="B44" s="39" t="s">
        <v>90</v>
      </c>
      <c r="C44" s="271"/>
      <c r="D44" s="271"/>
      <c r="E44" s="271"/>
      <c r="F44" s="271"/>
      <c r="G44" s="271"/>
      <c r="H44" s="271"/>
      <c r="I44" s="271"/>
      <c r="J44" s="271"/>
      <c r="K44" s="272">
        <f t="shared" si="1"/>
        <v>0</v>
      </c>
      <c r="L44" s="271"/>
      <c r="M44" s="272">
        <f t="shared" si="2"/>
        <v>0</v>
      </c>
    </row>
    <row r="45" spans="1:13" ht="15.75" hidden="1">
      <c r="A45" s="210"/>
      <c r="B45" s="39" t="s">
        <v>91</v>
      </c>
      <c r="C45" s="271"/>
      <c r="D45" s="271"/>
      <c r="E45" s="271"/>
      <c r="F45" s="271"/>
      <c r="G45" s="271"/>
      <c r="H45" s="271"/>
      <c r="I45" s="271"/>
      <c r="J45" s="271"/>
      <c r="K45" s="272">
        <f t="shared" si="1"/>
        <v>0</v>
      </c>
      <c r="L45" s="271"/>
      <c r="M45" s="272">
        <f t="shared" si="2"/>
        <v>0</v>
      </c>
    </row>
    <row r="46" spans="1:13" s="246" customFormat="1" ht="15.75">
      <c r="A46" s="206" t="s">
        <v>92</v>
      </c>
      <c r="B46" s="207" t="s">
        <v>93</v>
      </c>
      <c r="C46" s="267">
        <f>C47+C49+C51+C65</f>
        <v>21365.300000000003</v>
      </c>
      <c r="D46" s="267">
        <f aca="true" t="shared" si="7" ref="D46:J46">D47+D49+D51+D65</f>
        <v>10170.6</v>
      </c>
      <c r="E46" s="267">
        <f t="shared" si="7"/>
        <v>3</v>
      </c>
      <c r="F46" s="267">
        <f t="shared" si="7"/>
        <v>43</v>
      </c>
      <c r="G46" s="267">
        <f t="shared" si="7"/>
        <v>63</v>
      </c>
      <c r="H46" s="267">
        <f t="shared" si="7"/>
        <v>53</v>
      </c>
      <c r="I46" s="267">
        <f t="shared" si="7"/>
        <v>3</v>
      </c>
      <c r="J46" s="267">
        <f t="shared" si="7"/>
        <v>53</v>
      </c>
      <c r="K46" s="268">
        <f t="shared" si="1"/>
        <v>10388.6</v>
      </c>
      <c r="L46" s="267">
        <f>L47+L49+L51+L65</f>
        <v>0</v>
      </c>
      <c r="M46" s="268">
        <f t="shared" si="2"/>
        <v>31753.9</v>
      </c>
    </row>
    <row r="47" spans="1:13" s="246" customFormat="1" ht="31.5">
      <c r="A47" s="204" t="s">
        <v>195</v>
      </c>
      <c r="B47" s="212" t="s">
        <v>258</v>
      </c>
      <c r="C47" s="270">
        <f>C48</f>
        <v>48.7</v>
      </c>
      <c r="D47" s="270">
        <f aca="true" t="shared" si="8" ref="D47:J47">D48</f>
        <v>0</v>
      </c>
      <c r="E47" s="270">
        <f t="shared" si="8"/>
        <v>0</v>
      </c>
      <c r="F47" s="270">
        <f t="shared" si="8"/>
        <v>0</v>
      </c>
      <c r="G47" s="270">
        <f t="shared" si="8"/>
        <v>0</v>
      </c>
      <c r="H47" s="270">
        <f t="shared" si="8"/>
        <v>0</v>
      </c>
      <c r="I47" s="270">
        <f t="shared" si="8"/>
        <v>0</v>
      </c>
      <c r="J47" s="270">
        <f t="shared" si="8"/>
        <v>0</v>
      </c>
      <c r="K47" s="268">
        <f t="shared" si="1"/>
        <v>0</v>
      </c>
      <c r="L47" s="270">
        <f>L48</f>
        <v>0</v>
      </c>
      <c r="M47" s="268">
        <f t="shared" si="2"/>
        <v>48.7</v>
      </c>
    </row>
    <row r="48" spans="1:13" ht="47.25">
      <c r="A48" s="210"/>
      <c r="B48" s="39" t="s">
        <v>196</v>
      </c>
      <c r="C48" s="271">
        <v>48.7</v>
      </c>
      <c r="D48" s="271">
        <v>0</v>
      </c>
      <c r="E48" s="271">
        <v>0</v>
      </c>
      <c r="F48" s="271">
        <v>0</v>
      </c>
      <c r="G48" s="271">
        <v>0</v>
      </c>
      <c r="H48" s="271">
        <v>0</v>
      </c>
      <c r="I48" s="271">
        <v>0</v>
      </c>
      <c r="J48" s="271">
        <v>0</v>
      </c>
      <c r="K48" s="272">
        <f t="shared" si="1"/>
        <v>0</v>
      </c>
      <c r="L48" s="271"/>
      <c r="M48" s="272">
        <f t="shared" si="2"/>
        <v>48.7</v>
      </c>
    </row>
    <row r="49" spans="1:13" s="246" customFormat="1" ht="15.75">
      <c r="A49" s="204" t="s">
        <v>289</v>
      </c>
      <c r="B49" s="248" t="s">
        <v>290</v>
      </c>
      <c r="C49" s="270">
        <f>C50</f>
        <v>500</v>
      </c>
      <c r="D49" s="270">
        <f aca="true" t="shared" si="9" ref="D49:J49">D50</f>
        <v>200</v>
      </c>
      <c r="E49" s="270">
        <f t="shared" si="9"/>
        <v>0</v>
      </c>
      <c r="F49" s="270">
        <f t="shared" si="9"/>
        <v>0</v>
      </c>
      <c r="G49" s="270">
        <f t="shared" si="9"/>
        <v>0</v>
      </c>
      <c r="H49" s="270">
        <f t="shared" si="9"/>
        <v>0</v>
      </c>
      <c r="I49" s="270">
        <f t="shared" si="9"/>
        <v>0</v>
      </c>
      <c r="J49" s="270">
        <f t="shared" si="9"/>
        <v>0</v>
      </c>
      <c r="K49" s="268">
        <f t="shared" si="1"/>
        <v>200</v>
      </c>
      <c r="L49" s="270">
        <f>L50</f>
        <v>0</v>
      </c>
      <c r="M49" s="268">
        <f t="shared" si="2"/>
        <v>700</v>
      </c>
    </row>
    <row r="50" spans="1:13" ht="78.75">
      <c r="A50" s="210"/>
      <c r="B50" s="216" t="s">
        <v>291</v>
      </c>
      <c r="C50" s="271">
        <v>500</v>
      </c>
      <c r="D50" s="271">
        <v>200</v>
      </c>
      <c r="E50" s="271">
        <v>0</v>
      </c>
      <c r="F50" s="271">
        <v>0</v>
      </c>
      <c r="G50" s="271">
        <v>0</v>
      </c>
      <c r="H50" s="271">
        <v>0</v>
      </c>
      <c r="I50" s="271">
        <v>0</v>
      </c>
      <c r="J50" s="271">
        <v>0</v>
      </c>
      <c r="K50" s="272">
        <f t="shared" si="1"/>
        <v>200</v>
      </c>
      <c r="L50" s="271"/>
      <c r="M50" s="272">
        <f t="shared" si="2"/>
        <v>700</v>
      </c>
    </row>
    <row r="51" spans="1:13" s="246" customFormat="1" ht="15.75">
      <c r="A51" s="204" t="s">
        <v>94</v>
      </c>
      <c r="B51" s="244" t="s">
        <v>292</v>
      </c>
      <c r="C51" s="270">
        <f>SUM(C53:C63)</f>
        <v>20751.600000000002</v>
      </c>
      <c r="D51" s="270">
        <f aca="true" t="shared" si="10" ref="D51:J51">SUM(D53:D63)</f>
        <v>9870.6</v>
      </c>
      <c r="E51" s="270">
        <f t="shared" si="10"/>
        <v>0</v>
      </c>
      <c r="F51" s="270">
        <f t="shared" si="10"/>
        <v>0</v>
      </c>
      <c r="G51" s="270">
        <f t="shared" si="10"/>
        <v>0</v>
      </c>
      <c r="H51" s="270">
        <f t="shared" si="10"/>
        <v>0</v>
      </c>
      <c r="I51" s="270">
        <f t="shared" si="10"/>
        <v>0</v>
      </c>
      <c r="J51" s="270">
        <f t="shared" si="10"/>
        <v>0</v>
      </c>
      <c r="K51" s="268">
        <f t="shared" si="1"/>
        <v>9870.6</v>
      </c>
      <c r="L51" s="270">
        <f>SUM(L53:L63)</f>
        <v>0</v>
      </c>
      <c r="M51" s="268">
        <f t="shared" si="2"/>
        <v>30622.200000000004</v>
      </c>
    </row>
    <row r="52" spans="1:13" ht="15.75" hidden="1">
      <c r="A52" s="210"/>
      <c r="B52" s="40" t="s">
        <v>84</v>
      </c>
      <c r="C52" s="271"/>
      <c r="D52" s="271"/>
      <c r="E52" s="271"/>
      <c r="F52" s="271"/>
      <c r="G52" s="271"/>
      <c r="H52" s="271"/>
      <c r="I52" s="271"/>
      <c r="J52" s="271"/>
      <c r="K52" s="272">
        <f t="shared" si="1"/>
        <v>0</v>
      </c>
      <c r="L52" s="271"/>
      <c r="M52" s="272">
        <f t="shared" si="2"/>
        <v>0</v>
      </c>
    </row>
    <row r="53" spans="1:13" ht="31.5">
      <c r="A53" s="210"/>
      <c r="B53" s="217" t="s">
        <v>293</v>
      </c>
      <c r="C53" s="271">
        <v>50</v>
      </c>
      <c r="D53" s="271">
        <v>0</v>
      </c>
      <c r="E53" s="271">
        <v>0</v>
      </c>
      <c r="F53" s="271">
        <v>0</v>
      </c>
      <c r="G53" s="271">
        <v>0</v>
      </c>
      <c r="H53" s="271">
        <v>0</v>
      </c>
      <c r="I53" s="271">
        <v>0</v>
      </c>
      <c r="J53" s="271">
        <v>0</v>
      </c>
      <c r="K53" s="272">
        <f t="shared" si="1"/>
        <v>0</v>
      </c>
      <c r="L53" s="271"/>
      <c r="M53" s="272">
        <f t="shared" si="2"/>
        <v>50</v>
      </c>
    </row>
    <row r="54" spans="1:13" ht="31.5">
      <c r="A54" s="210"/>
      <c r="B54" s="217" t="s">
        <v>294</v>
      </c>
      <c r="C54" s="271">
        <v>50</v>
      </c>
      <c r="D54" s="271">
        <v>0</v>
      </c>
      <c r="E54" s="271">
        <v>0</v>
      </c>
      <c r="F54" s="271">
        <v>0</v>
      </c>
      <c r="G54" s="271">
        <v>0</v>
      </c>
      <c r="H54" s="271">
        <v>0</v>
      </c>
      <c r="I54" s="271">
        <v>0</v>
      </c>
      <c r="J54" s="271">
        <v>0</v>
      </c>
      <c r="K54" s="272">
        <f t="shared" si="1"/>
        <v>0</v>
      </c>
      <c r="L54" s="271"/>
      <c r="M54" s="272">
        <f t="shared" si="2"/>
        <v>50</v>
      </c>
    </row>
    <row r="55" spans="1:13" ht="63" hidden="1">
      <c r="A55" s="210"/>
      <c r="B55" s="40" t="s">
        <v>187</v>
      </c>
      <c r="C55" s="271">
        <f>0</f>
        <v>0</v>
      </c>
      <c r="D55" s="271">
        <f>0</f>
        <v>0</v>
      </c>
      <c r="E55" s="271">
        <f>0</f>
        <v>0</v>
      </c>
      <c r="F55" s="271">
        <f>0</f>
        <v>0</v>
      </c>
      <c r="G55" s="271">
        <v>0</v>
      </c>
      <c r="H55" s="271">
        <f>0</f>
        <v>0</v>
      </c>
      <c r="I55" s="271">
        <f>0</f>
        <v>0</v>
      </c>
      <c r="J55" s="271">
        <f>0</f>
        <v>0</v>
      </c>
      <c r="K55" s="272">
        <f t="shared" si="1"/>
        <v>0</v>
      </c>
      <c r="L55" s="271"/>
      <c r="M55" s="272">
        <f t="shared" si="2"/>
        <v>0</v>
      </c>
    </row>
    <row r="56" spans="1:13" ht="94.5" hidden="1">
      <c r="A56" s="210"/>
      <c r="B56" s="40" t="s">
        <v>295</v>
      </c>
      <c r="C56" s="271">
        <v>0</v>
      </c>
      <c r="D56" s="271">
        <v>0</v>
      </c>
      <c r="E56" s="271">
        <v>0</v>
      </c>
      <c r="F56" s="271">
        <v>0</v>
      </c>
      <c r="G56" s="271">
        <v>0</v>
      </c>
      <c r="H56" s="271">
        <v>0</v>
      </c>
      <c r="I56" s="271">
        <v>0</v>
      </c>
      <c r="J56" s="271">
        <v>0</v>
      </c>
      <c r="K56" s="272">
        <f t="shared" si="1"/>
        <v>0</v>
      </c>
      <c r="L56" s="271"/>
      <c r="M56" s="272">
        <f t="shared" si="2"/>
        <v>0</v>
      </c>
    </row>
    <row r="57" spans="1:13" ht="78.75" hidden="1">
      <c r="A57" s="210"/>
      <c r="B57" s="39" t="s">
        <v>197</v>
      </c>
      <c r="C57" s="271">
        <v>0</v>
      </c>
      <c r="D57" s="271">
        <v>0</v>
      </c>
      <c r="E57" s="271">
        <v>0</v>
      </c>
      <c r="F57" s="271">
        <v>0</v>
      </c>
      <c r="G57" s="271">
        <v>0</v>
      </c>
      <c r="H57" s="271">
        <v>0</v>
      </c>
      <c r="I57" s="271">
        <v>0</v>
      </c>
      <c r="J57" s="271">
        <v>0</v>
      </c>
      <c r="K57" s="272">
        <f t="shared" si="1"/>
        <v>0</v>
      </c>
      <c r="L57" s="271"/>
      <c r="M57" s="272">
        <f t="shared" si="2"/>
        <v>0</v>
      </c>
    </row>
    <row r="58" spans="1:13" ht="74.25" customHeight="1">
      <c r="A58" s="210"/>
      <c r="B58" s="217" t="s">
        <v>296</v>
      </c>
      <c r="C58" s="273">
        <v>16062.2</v>
      </c>
      <c r="D58" s="273">
        <v>0</v>
      </c>
      <c r="E58" s="273">
        <v>0</v>
      </c>
      <c r="F58" s="273">
        <v>0</v>
      </c>
      <c r="G58" s="273">
        <v>0</v>
      </c>
      <c r="H58" s="273">
        <v>0</v>
      </c>
      <c r="I58" s="273">
        <v>0</v>
      </c>
      <c r="J58" s="273">
        <v>0</v>
      </c>
      <c r="K58" s="272">
        <f t="shared" si="1"/>
        <v>0</v>
      </c>
      <c r="L58" s="273"/>
      <c r="M58" s="272">
        <f t="shared" si="2"/>
        <v>16062.2</v>
      </c>
    </row>
    <row r="59" spans="1:13" ht="74.25" customHeight="1">
      <c r="A59" s="210"/>
      <c r="B59" s="237" t="s">
        <v>328</v>
      </c>
      <c r="C59" s="273">
        <v>0</v>
      </c>
      <c r="D59" s="273">
        <v>6761.6</v>
      </c>
      <c r="E59" s="273">
        <v>0</v>
      </c>
      <c r="F59" s="273">
        <v>0</v>
      </c>
      <c r="G59" s="273">
        <v>0</v>
      </c>
      <c r="H59" s="273">
        <v>0</v>
      </c>
      <c r="I59" s="273">
        <v>0</v>
      </c>
      <c r="J59" s="273">
        <v>0</v>
      </c>
      <c r="K59" s="272">
        <f t="shared" si="1"/>
        <v>6761.6</v>
      </c>
      <c r="L59" s="273"/>
      <c r="M59" s="272"/>
    </row>
    <row r="60" spans="1:13" ht="51.75" customHeight="1">
      <c r="A60" s="210"/>
      <c r="B60" s="218" t="s">
        <v>297</v>
      </c>
      <c r="C60" s="273">
        <f>2000</f>
        <v>2000</v>
      </c>
      <c r="D60" s="273">
        <v>0</v>
      </c>
      <c r="E60" s="273">
        <v>0</v>
      </c>
      <c r="F60" s="273">
        <v>0</v>
      </c>
      <c r="G60" s="273">
        <v>0</v>
      </c>
      <c r="H60" s="273">
        <v>0</v>
      </c>
      <c r="I60" s="273">
        <v>0</v>
      </c>
      <c r="J60" s="273">
        <v>0</v>
      </c>
      <c r="K60" s="272">
        <f t="shared" si="1"/>
        <v>0</v>
      </c>
      <c r="L60" s="273"/>
      <c r="M60" s="272">
        <f t="shared" si="2"/>
        <v>2000</v>
      </c>
    </row>
    <row r="61" spans="1:13" ht="15.75">
      <c r="A61" s="210"/>
      <c r="B61" s="217" t="s">
        <v>298</v>
      </c>
      <c r="C61" s="273">
        <f>489.4</f>
        <v>489.4</v>
      </c>
      <c r="D61" s="273">
        <v>2709</v>
      </c>
      <c r="E61" s="273">
        <v>0</v>
      </c>
      <c r="F61" s="273">
        <v>0</v>
      </c>
      <c r="G61" s="273">
        <v>0</v>
      </c>
      <c r="H61" s="273">
        <v>0</v>
      </c>
      <c r="I61" s="273">
        <v>0</v>
      </c>
      <c r="J61" s="273">
        <v>0</v>
      </c>
      <c r="K61" s="272">
        <f t="shared" si="1"/>
        <v>2709</v>
      </c>
      <c r="L61" s="273"/>
      <c r="M61" s="272">
        <f t="shared" si="2"/>
        <v>3198.4</v>
      </c>
    </row>
    <row r="62" spans="1:13" ht="15.75">
      <c r="A62" s="210"/>
      <c r="B62" s="217" t="s">
        <v>299</v>
      </c>
      <c r="C62" s="273">
        <f>1600</f>
        <v>1600</v>
      </c>
      <c r="D62" s="273">
        <v>0</v>
      </c>
      <c r="E62" s="273">
        <v>0</v>
      </c>
      <c r="F62" s="273">
        <v>0</v>
      </c>
      <c r="G62" s="273">
        <v>0</v>
      </c>
      <c r="H62" s="273">
        <v>0</v>
      </c>
      <c r="I62" s="273">
        <v>0</v>
      </c>
      <c r="J62" s="273">
        <v>0</v>
      </c>
      <c r="K62" s="272">
        <f t="shared" si="1"/>
        <v>0</v>
      </c>
      <c r="L62" s="273"/>
      <c r="M62" s="272">
        <f t="shared" si="2"/>
        <v>1600</v>
      </c>
    </row>
    <row r="63" spans="1:13" ht="31.5">
      <c r="A63" s="210"/>
      <c r="B63" s="219" t="s">
        <v>300</v>
      </c>
      <c r="C63" s="273">
        <f>500</f>
        <v>500</v>
      </c>
      <c r="D63" s="273">
        <v>400</v>
      </c>
      <c r="E63" s="273">
        <v>0</v>
      </c>
      <c r="F63" s="273">
        <v>0</v>
      </c>
      <c r="G63" s="273">
        <v>0</v>
      </c>
      <c r="H63" s="273">
        <v>0</v>
      </c>
      <c r="I63" s="273">
        <v>0</v>
      </c>
      <c r="J63" s="273">
        <v>0</v>
      </c>
      <c r="K63" s="272">
        <f t="shared" si="1"/>
        <v>400</v>
      </c>
      <c r="L63" s="273"/>
      <c r="M63" s="272">
        <f t="shared" si="2"/>
        <v>900</v>
      </c>
    </row>
    <row r="64" spans="1:13" ht="31.5" hidden="1">
      <c r="A64" s="210"/>
      <c r="B64" s="41" t="s">
        <v>12</v>
      </c>
      <c r="C64" s="273"/>
      <c r="D64" s="273"/>
      <c r="E64" s="273"/>
      <c r="F64" s="273"/>
      <c r="G64" s="273"/>
      <c r="H64" s="273"/>
      <c r="I64" s="273"/>
      <c r="J64" s="273"/>
      <c r="K64" s="272">
        <f t="shared" si="1"/>
        <v>0</v>
      </c>
      <c r="L64" s="273"/>
      <c r="M64" s="272">
        <f t="shared" si="2"/>
        <v>0</v>
      </c>
    </row>
    <row r="65" spans="1:13" s="246" customFormat="1" ht="31.5">
      <c r="A65" s="204" t="s">
        <v>95</v>
      </c>
      <c r="B65" s="212" t="s">
        <v>301</v>
      </c>
      <c r="C65" s="270">
        <f>C66+C67+C68</f>
        <v>65</v>
      </c>
      <c r="D65" s="270">
        <f aca="true" t="shared" si="11" ref="D65:J65">D66+D67+D68</f>
        <v>100</v>
      </c>
      <c r="E65" s="270">
        <f t="shared" si="11"/>
        <v>3</v>
      </c>
      <c r="F65" s="270">
        <f t="shared" si="11"/>
        <v>43</v>
      </c>
      <c r="G65" s="270">
        <f t="shared" si="11"/>
        <v>63</v>
      </c>
      <c r="H65" s="270">
        <f t="shared" si="11"/>
        <v>53</v>
      </c>
      <c r="I65" s="270">
        <f t="shared" si="11"/>
        <v>3</v>
      </c>
      <c r="J65" s="270">
        <f t="shared" si="11"/>
        <v>53</v>
      </c>
      <c r="K65" s="268">
        <f t="shared" si="1"/>
        <v>318</v>
      </c>
      <c r="L65" s="270">
        <f>L66+L67+L68</f>
        <v>0</v>
      </c>
      <c r="M65" s="268">
        <f t="shared" si="2"/>
        <v>383</v>
      </c>
    </row>
    <row r="66" spans="1:13" ht="31.5">
      <c r="A66" s="210"/>
      <c r="B66" s="39" t="s">
        <v>270</v>
      </c>
      <c r="C66" s="271">
        <v>50</v>
      </c>
      <c r="D66" s="271">
        <v>100</v>
      </c>
      <c r="E66" s="271">
        <v>0</v>
      </c>
      <c r="F66" s="271">
        <v>40</v>
      </c>
      <c r="G66" s="271">
        <v>60</v>
      </c>
      <c r="H66" s="271">
        <v>50</v>
      </c>
      <c r="I66" s="271">
        <v>0</v>
      </c>
      <c r="J66" s="271">
        <v>50</v>
      </c>
      <c r="K66" s="272">
        <f t="shared" si="1"/>
        <v>300</v>
      </c>
      <c r="L66" s="271"/>
      <c r="M66" s="272">
        <f t="shared" si="2"/>
        <v>350</v>
      </c>
    </row>
    <row r="67" spans="1:13" ht="31.5">
      <c r="A67" s="210"/>
      <c r="B67" s="220" t="s">
        <v>349</v>
      </c>
      <c r="C67" s="271">
        <v>15</v>
      </c>
      <c r="D67" s="271">
        <v>0</v>
      </c>
      <c r="E67" s="271">
        <v>3</v>
      </c>
      <c r="F67" s="271">
        <v>3</v>
      </c>
      <c r="G67" s="271">
        <v>3</v>
      </c>
      <c r="H67" s="271">
        <v>3</v>
      </c>
      <c r="I67" s="271">
        <v>3</v>
      </c>
      <c r="J67" s="271">
        <v>3</v>
      </c>
      <c r="K67" s="272">
        <f t="shared" si="1"/>
        <v>18</v>
      </c>
      <c r="L67" s="271"/>
      <c r="M67" s="272">
        <f t="shared" si="2"/>
        <v>33</v>
      </c>
    </row>
    <row r="68" spans="1:13" ht="141.75" hidden="1">
      <c r="A68" s="210"/>
      <c r="B68" s="39" t="s">
        <v>259</v>
      </c>
      <c r="C68" s="271"/>
      <c r="D68" s="271"/>
      <c r="E68" s="271"/>
      <c r="F68" s="271"/>
      <c r="G68" s="271"/>
      <c r="H68" s="271"/>
      <c r="I68" s="271"/>
      <c r="J68" s="271"/>
      <c r="K68" s="272">
        <f t="shared" si="1"/>
        <v>0</v>
      </c>
      <c r="L68" s="271"/>
      <c r="M68" s="272">
        <f t="shared" si="2"/>
        <v>0</v>
      </c>
    </row>
    <row r="69" spans="1:13" s="246" customFormat="1" ht="31.5">
      <c r="A69" s="206" t="s">
        <v>96</v>
      </c>
      <c r="B69" s="207" t="s">
        <v>97</v>
      </c>
      <c r="C69" s="267">
        <f>C70+C74+C81</f>
        <v>170</v>
      </c>
      <c r="D69" s="267">
        <f>D70+D74+D81</f>
        <v>31765</v>
      </c>
      <c r="E69" s="267">
        <f>E70+E74+E81</f>
        <v>1536.6</v>
      </c>
      <c r="F69" s="267">
        <f>F70+F74+F81</f>
        <v>965.5</v>
      </c>
      <c r="G69" s="267">
        <f>G70+G74+G81</f>
        <v>1500.7</v>
      </c>
      <c r="H69" s="267">
        <f>H70+H74+H81</f>
        <v>1919.3999999999999</v>
      </c>
      <c r="I69" s="267">
        <f>I70+I74+I81</f>
        <v>876.9</v>
      </c>
      <c r="J69" s="267">
        <f>J70+J74+J81</f>
        <v>1322.7</v>
      </c>
      <c r="K69" s="268">
        <f t="shared" si="1"/>
        <v>39886.799999999996</v>
      </c>
      <c r="L69" s="267">
        <f>L70+L74+L81</f>
        <v>0</v>
      </c>
      <c r="M69" s="268">
        <f t="shared" si="2"/>
        <v>40056.799999999996</v>
      </c>
    </row>
    <row r="70" spans="1:13" s="246" customFormat="1" ht="15.75">
      <c r="A70" s="204" t="s">
        <v>98</v>
      </c>
      <c r="B70" s="212" t="s">
        <v>99</v>
      </c>
      <c r="C70" s="270">
        <f>C71+C72+C73</f>
        <v>100</v>
      </c>
      <c r="D70" s="270">
        <f aca="true" t="shared" si="12" ref="D70:J70">D71+D72+D73</f>
        <v>1600</v>
      </c>
      <c r="E70" s="270">
        <f t="shared" si="12"/>
        <v>0</v>
      </c>
      <c r="F70" s="270">
        <f t="shared" si="12"/>
        <v>0</v>
      </c>
      <c r="G70" s="270">
        <f t="shared" si="12"/>
        <v>0</v>
      </c>
      <c r="H70" s="270">
        <f t="shared" si="12"/>
        <v>0</v>
      </c>
      <c r="I70" s="270">
        <f t="shared" si="12"/>
        <v>0</v>
      </c>
      <c r="J70" s="270">
        <f t="shared" si="12"/>
        <v>0</v>
      </c>
      <c r="K70" s="268">
        <f t="shared" si="1"/>
        <v>1600</v>
      </c>
      <c r="L70" s="270">
        <f>L71+L72+L73</f>
        <v>0</v>
      </c>
      <c r="M70" s="268">
        <f t="shared" si="2"/>
        <v>1700</v>
      </c>
    </row>
    <row r="71" spans="1:13" ht="31.5">
      <c r="A71" s="210"/>
      <c r="B71" s="39" t="s">
        <v>260</v>
      </c>
      <c r="C71" s="271">
        <v>100</v>
      </c>
      <c r="D71" s="271">
        <v>1000</v>
      </c>
      <c r="E71" s="271">
        <v>0</v>
      </c>
      <c r="F71" s="271">
        <v>0</v>
      </c>
      <c r="G71" s="271">
        <v>0</v>
      </c>
      <c r="H71" s="271">
        <v>0</v>
      </c>
      <c r="I71" s="271">
        <v>0</v>
      </c>
      <c r="J71" s="271">
        <v>0</v>
      </c>
      <c r="K71" s="272">
        <f>SUM(D71:J71)</f>
        <v>1000</v>
      </c>
      <c r="L71" s="271"/>
      <c r="M71" s="272">
        <f>K71+C71-L71</f>
        <v>1100</v>
      </c>
    </row>
    <row r="72" spans="1:13" ht="63">
      <c r="A72" s="210"/>
      <c r="B72" s="39" t="s">
        <v>329</v>
      </c>
      <c r="C72" s="271">
        <v>0</v>
      </c>
      <c r="D72" s="271">
        <v>600</v>
      </c>
      <c r="E72" s="271">
        <v>0</v>
      </c>
      <c r="F72" s="271">
        <v>0</v>
      </c>
      <c r="G72" s="271">
        <v>0</v>
      </c>
      <c r="H72" s="271">
        <v>0</v>
      </c>
      <c r="I72" s="271">
        <v>0</v>
      </c>
      <c r="J72" s="271">
        <v>0</v>
      </c>
      <c r="K72" s="272"/>
      <c r="L72" s="271"/>
      <c r="M72" s="272"/>
    </row>
    <row r="73" spans="1:13" ht="31.5" hidden="1">
      <c r="A73" s="210"/>
      <c r="B73" s="221" t="s">
        <v>303</v>
      </c>
      <c r="C73" s="271">
        <v>0</v>
      </c>
      <c r="D73" s="271">
        <v>0</v>
      </c>
      <c r="E73" s="271">
        <v>0</v>
      </c>
      <c r="F73" s="271">
        <v>0</v>
      </c>
      <c r="G73" s="271">
        <v>0</v>
      </c>
      <c r="H73" s="271">
        <v>0</v>
      </c>
      <c r="I73" s="271">
        <v>0</v>
      </c>
      <c r="J73" s="271">
        <v>0</v>
      </c>
      <c r="K73" s="272">
        <f aca="true" t="shared" si="13" ref="K73:K136">SUM(D73:J73)</f>
        <v>0</v>
      </c>
      <c r="L73" s="271"/>
      <c r="M73" s="272">
        <f aca="true" t="shared" si="14" ref="M73:M136">K73+C73-L73</f>
        <v>0</v>
      </c>
    </row>
    <row r="74" spans="1:13" s="246" customFormat="1" ht="31.5">
      <c r="A74" s="204" t="s">
        <v>100</v>
      </c>
      <c r="B74" s="212" t="s">
        <v>261</v>
      </c>
      <c r="C74" s="270">
        <f>SUM(C75:C80)</f>
        <v>70</v>
      </c>
      <c r="D74" s="270">
        <f aca="true" t="shared" si="15" ref="D74:J74">SUM(D75:D80)</f>
        <v>3000</v>
      </c>
      <c r="E74" s="270">
        <f t="shared" si="15"/>
        <v>0</v>
      </c>
      <c r="F74" s="270">
        <f t="shared" si="15"/>
        <v>0</v>
      </c>
      <c r="G74" s="270">
        <f t="shared" si="15"/>
        <v>0</v>
      </c>
      <c r="H74" s="270">
        <f t="shared" si="15"/>
        <v>0</v>
      </c>
      <c r="I74" s="270">
        <f t="shared" si="15"/>
        <v>0</v>
      </c>
      <c r="J74" s="270">
        <f t="shared" si="15"/>
        <v>0</v>
      </c>
      <c r="K74" s="268">
        <f t="shared" si="13"/>
        <v>3000</v>
      </c>
      <c r="L74" s="270">
        <f>SUM(L75:L80)</f>
        <v>0</v>
      </c>
      <c r="M74" s="268">
        <f t="shared" si="14"/>
        <v>3070</v>
      </c>
    </row>
    <row r="75" spans="1:13" ht="31.5">
      <c r="A75" s="210"/>
      <c r="B75" s="220" t="s">
        <v>304</v>
      </c>
      <c r="C75" s="271">
        <v>70</v>
      </c>
      <c r="D75" s="271">
        <v>0</v>
      </c>
      <c r="E75" s="271">
        <v>0</v>
      </c>
      <c r="F75" s="271">
        <v>0</v>
      </c>
      <c r="G75" s="271">
        <v>0</v>
      </c>
      <c r="H75" s="271">
        <v>0</v>
      </c>
      <c r="I75" s="271">
        <v>0</v>
      </c>
      <c r="J75" s="271">
        <v>0</v>
      </c>
      <c r="K75" s="272">
        <f t="shared" si="13"/>
        <v>0</v>
      </c>
      <c r="L75" s="271"/>
      <c r="M75" s="272">
        <f t="shared" si="14"/>
        <v>70</v>
      </c>
    </row>
    <row r="76" spans="1:13" ht="126" hidden="1">
      <c r="A76" s="210"/>
      <c r="B76" s="39" t="s">
        <v>262</v>
      </c>
      <c r="C76" s="271">
        <v>0</v>
      </c>
      <c r="D76" s="271">
        <v>0</v>
      </c>
      <c r="E76" s="271">
        <v>0</v>
      </c>
      <c r="F76" s="271">
        <v>0</v>
      </c>
      <c r="G76" s="271">
        <v>0</v>
      </c>
      <c r="H76" s="271">
        <v>0</v>
      </c>
      <c r="I76" s="271">
        <v>0</v>
      </c>
      <c r="J76" s="271">
        <v>0</v>
      </c>
      <c r="K76" s="272">
        <f t="shared" si="13"/>
        <v>0</v>
      </c>
      <c r="L76" s="271"/>
      <c r="M76" s="272">
        <f t="shared" si="14"/>
        <v>0</v>
      </c>
    </row>
    <row r="77" spans="1:13" ht="78.75" hidden="1">
      <c r="A77" s="210"/>
      <c r="B77" s="39" t="s">
        <v>101</v>
      </c>
      <c r="C77" s="271">
        <v>0</v>
      </c>
      <c r="D77" s="271">
        <v>0</v>
      </c>
      <c r="E77" s="271">
        <v>0</v>
      </c>
      <c r="F77" s="271">
        <v>0</v>
      </c>
      <c r="G77" s="271">
        <v>0</v>
      </c>
      <c r="H77" s="271">
        <v>0</v>
      </c>
      <c r="I77" s="271">
        <v>0</v>
      </c>
      <c r="J77" s="271">
        <v>0</v>
      </c>
      <c r="K77" s="272">
        <f t="shared" si="13"/>
        <v>0</v>
      </c>
      <c r="L77" s="271"/>
      <c r="M77" s="272">
        <f t="shared" si="14"/>
        <v>0</v>
      </c>
    </row>
    <row r="78" spans="1:13" ht="78.75" hidden="1">
      <c r="A78" s="210"/>
      <c r="B78" s="39" t="s">
        <v>102</v>
      </c>
      <c r="C78" s="271">
        <v>0</v>
      </c>
      <c r="D78" s="271">
        <v>0</v>
      </c>
      <c r="E78" s="271">
        <v>0</v>
      </c>
      <c r="F78" s="271">
        <v>0</v>
      </c>
      <c r="G78" s="271">
        <v>0</v>
      </c>
      <c r="H78" s="271">
        <v>0</v>
      </c>
      <c r="I78" s="271">
        <v>0</v>
      </c>
      <c r="J78" s="271">
        <v>0</v>
      </c>
      <c r="K78" s="272">
        <f t="shared" si="13"/>
        <v>0</v>
      </c>
      <c r="L78" s="271"/>
      <c r="M78" s="272">
        <f t="shared" si="14"/>
        <v>0</v>
      </c>
    </row>
    <row r="79" spans="1:13" ht="47.25">
      <c r="A79" s="210"/>
      <c r="B79" s="39" t="s">
        <v>330</v>
      </c>
      <c r="C79" s="271">
        <v>0</v>
      </c>
      <c r="D79" s="271">
        <v>3000</v>
      </c>
      <c r="E79" s="271">
        <v>0</v>
      </c>
      <c r="F79" s="271">
        <v>0</v>
      </c>
      <c r="G79" s="271">
        <v>0</v>
      </c>
      <c r="H79" s="271">
        <v>0</v>
      </c>
      <c r="I79" s="271">
        <v>0</v>
      </c>
      <c r="J79" s="271">
        <v>0</v>
      </c>
      <c r="K79" s="272">
        <f t="shared" si="13"/>
        <v>3000</v>
      </c>
      <c r="L79" s="271"/>
      <c r="M79" s="272">
        <f t="shared" si="14"/>
        <v>3000</v>
      </c>
    </row>
    <row r="80" spans="1:13" ht="63" hidden="1">
      <c r="A80" s="210"/>
      <c r="B80" s="39" t="s">
        <v>331</v>
      </c>
      <c r="C80" s="271"/>
      <c r="D80" s="271">
        <v>0</v>
      </c>
      <c r="E80" s="271">
        <v>0</v>
      </c>
      <c r="F80" s="271">
        <v>0</v>
      </c>
      <c r="G80" s="271">
        <v>0</v>
      </c>
      <c r="H80" s="271">
        <v>0</v>
      </c>
      <c r="I80" s="271">
        <v>0</v>
      </c>
      <c r="J80" s="271">
        <v>0</v>
      </c>
      <c r="K80" s="272">
        <f t="shared" si="13"/>
        <v>0</v>
      </c>
      <c r="L80" s="271"/>
      <c r="M80" s="272"/>
    </row>
    <row r="81" spans="1:13" s="246" customFormat="1" ht="15.75">
      <c r="A81" s="204" t="s">
        <v>103</v>
      </c>
      <c r="B81" s="212" t="s">
        <v>348</v>
      </c>
      <c r="C81" s="270">
        <f>SUM(C82:C103)</f>
        <v>0</v>
      </c>
      <c r="D81" s="270">
        <f>SUM(D82:D103)</f>
        <v>27165</v>
      </c>
      <c r="E81" s="270">
        <f>SUM(E82:E103)</f>
        <v>1536.6</v>
      </c>
      <c r="F81" s="270">
        <f>SUM(F82:F103)</f>
        <v>965.5</v>
      </c>
      <c r="G81" s="270">
        <f>SUM(G82:G103)</f>
        <v>1500.7</v>
      </c>
      <c r="H81" s="270">
        <f>SUM(H82:H103)</f>
        <v>1919.3999999999999</v>
      </c>
      <c r="I81" s="270">
        <f>SUM(I82:I103)</f>
        <v>876.9</v>
      </c>
      <c r="J81" s="270">
        <f>SUM(J82:J103)</f>
        <v>1322.7</v>
      </c>
      <c r="K81" s="268">
        <f t="shared" si="13"/>
        <v>35286.799999999996</v>
      </c>
      <c r="L81" s="270">
        <f>SUM(L82:L103)</f>
        <v>0</v>
      </c>
      <c r="M81" s="268">
        <f t="shared" si="14"/>
        <v>35286.799999999996</v>
      </c>
    </row>
    <row r="82" spans="1:13" ht="35.25" customHeight="1">
      <c r="A82" s="210"/>
      <c r="B82" s="236" t="s">
        <v>353</v>
      </c>
      <c r="C82" s="274">
        <v>0</v>
      </c>
      <c r="D82" s="275">
        <v>250</v>
      </c>
      <c r="E82" s="271">
        <v>30</v>
      </c>
      <c r="F82" s="271">
        <v>15</v>
      </c>
      <c r="G82" s="271">
        <v>0</v>
      </c>
      <c r="H82" s="271">
        <v>15</v>
      </c>
      <c r="I82" s="271">
        <v>20</v>
      </c>
      <c r="J82" s="271">
        <v>0</v>
      </c>
      <c r="K82" s="272"/>
      <c r="L82" s="274"/>
      <c r="M82" s="272"/>
    </row>
    <row r="83" spans="1:13" ht="15.75">
      <c r="A83" s="210"/>
      <c r="B83" s="236" t="s">
        <v>332</v>
      </c>
      <c r="C83" s="274">
        <v>0</v>
      </c>
      <c r="D83" s="275">
        <v>150</v>
      </c>
      <c r="E83" s="271">
        <v>0</v>
      </c>
      <c r="F83" s="271">
        <v>0</v>
      </c>
      <c r="G83" s="271">
        <v>0</v>
      </c>
      <c r="H83" s="271">
        <v>0</v>
      </c>
      <c r="I83" s="271">
        <v>0</v>
      </c>
      <c r="J83" s="271">
        <v>0</v>
      </c>
      <c r="K83" s="272"/>
      <c r="L83" s="274"/>
      <c r="M83" s="272"/>
    </row>
    <row r="84" spans="1:13" ht="31.5">
      <c r="A84" s="210"/>
      <c r="B84" s="236" t="s">
        <v>333</v>
      </c>
      <c r="C84" s="274">
        <v>0</v>
      </c>
      <c r="D84" s="275">
        <v>150</v>
      </c>
      <c r="E84" s="271">
        <v>10</v>
      </c>
      <c r="F84" s="271">
        <v>20</v>
      </c>
      <c r="G84" s="271">
        <v>20</v>
      </c>
      <c r="H84" s="271">
        <v>25</v>
      </c>
      <c r="I84" s="271">
        <v>10</v>
      </c>
      <c r="J84" s="271">
        <v>13.7</v>
      </c>
      <c r="K84" s="272"/>
      <c r="L84" s="274"/>
      <c r="M84" s="272"/>
    </row>
    <row r="85" spans="1:13" ht="31.5">
      <c r="A85" s="210"/>
      <c r="B85" s="236" t="s">
        <v>334</v>
      </c>
      <c r="C85" s="274">
        <v>0</v>
      </c>
      <c r="D85" s="275">
        <v>250</v>
      </c>
      <c r="E85" s="271">
        <v>120</v>
      </c>
      <c r="F85" s="271">
        <v>50</v>
      </c>
      <c r="G85" s="271">
        <v>58</v>
      </c>
      <c r="H85" s="271">
        <v>100</v>
      </c>
      <c r="I85" s="271">
        <v>50</v>
      </c>
      <c r="J85" s="271">
        <v>37.5</v>
      </c>
      <c r="K85" s="272"/>
      <c r="L85" s="274"/>
      <c r="M85" s="272"/>
    </row>
    <row r="86" spans="1:13" ht="31.5">
      <c r="A86" s="210"/>
      <c r="B86" s="236" t="s">
        <v>354</v>
      </c>
      <c r="C86" s="274">
        <v>0</v>
      </c>
      <c r="D86" s="275">
        <v>250</v>
      </c>
      <c r="E86" s="271">
        <v>60</v>
      </c>
      <c r="F86" s="271">
        <v>69.8</v>
      </c>
      <c r="G86" s="271">
        <v>40</v>
      </c>
      <c r="H86" s="271">
        <v>40</v>
      </c>
      <c r="I86" s="271">
        <v>25</v>
      </c>
      <c r="J86" s="271">
        <v>80</v>
      </c>
      <c r="K86" s="272"/>
      <c r="L86" s="274"/>
      <c r="M86" s="272"/>
    </row>
    <row r="87" spans="1:13" ht="31.5">
      <c r="A87" s="210"/>
      <c r="B87" s="236" t="s">
        <v>335</v>
      </c>
      <c r="C87" s="274">
        <v>0</v>
      </c>
      <c r="D87" s="275">
        <v>0</v>
      </c>
      <c r="E87" s="271">
        <v>0</v>
      </c>
      <c r="F87" s="271">
        <v>0</v>
      </c>
      <c r="G87" s="271">
        <v>0</v>
      </c>
      <c r="H87" s="271">
        <v>0</v>
      </c>
      <c r="I87" s="271">
        <v>0</v>
      </c>
      <c r="J87" s="271">
        <v>0</v>
      </c>
      <c r="K87" s="272"/>
      <c r="L87" s="274"/>
      <c r="M87" s="272"/>
    </row>
    <row r="88" spans="1:13" ht="47.25">
      <c r="A88" s="210"/>
      <c r="B88" s="236" t="s">
        <v>355</v>
      </c>
      <c r="C88" s="274">
        <v>0</v>
      </c>
      <c r="D88" s="275">
        <v>15800</v>
      </c>
      <c r="E88" s="271">
        <v>230</v>
      </c>
      <c r="F88" s="271">
        <v>98.4</v>
      </c>
      <c r="G88" s="271">
        <v>170</v>
      </c>
      <c r="H88" s="271">
        <v>150</v>
      </c>
      <c r="I88" s="271">
        <v>65</v>
      </c>
      <c r="J88" s="271">
        <v>20</v>
      </c>
      <c r="K88" s="272"/>
      <c r="L88" s="274"/>
      <c r="M88" s="272"/>
    </row>
    <row r="89" spans="1:13" ht="47.25">
      <c r="A89" s="210"/>
      <c r="B89" s="236" t="s">
        <v>356</v>
      </c>
      <c r="C89" s="274">
        <v>0</v>
      </c>
      <c r="D89" s="275">
        <v>2500</v>
      </c>
      <c r="E89" s="271">
        <v>0</v>
      </c>
      <c r="F89" s="271">
        <v>0</v>
      </c>
      <c r="G89" s="271">
        <v>0</v>
      </c>
      <c r="H89" s="271">
        <v>0</v>
      </c>
      <c r="I89" s="271">
        <v>0</v>
      </c>
      <c r="J89" s="271">
        <v>0</v>
      </c>
      <c r="K89" s="272"/>
      <c r="L89" s="274"/>
      <c r="M89" s="272"/>
    </row>
    <row r="90" spans="1:13" ht="31.5" hidden="1">
      <c r="A90" s="210"/>
      <c r="B90" s="236" t="s">
        <v>336</v>
      </c>
      <c r="C90" s="274">
        <v>0</v>
      </c>
      <c r="D90" s="275">
        <v>0</v>
      </c>
      <c r="E90" s="271">
        <v>0</v>
      </c>
      <c r="F90" s="271">
        <v>0</v>
      </c>
      <c r="G90" s="271">
        <v>0</v>
      </c>
      <c r="H90" s="271">
        <v>0</v>
      </c>
      <c r="I90" s="271">
        <v>0</v>
      </c>
      <c r="J90" s="271">
        <v>0</v>
      </c>
      <c r="K90" s="272"/>
      <c r="L90" s="274"/>
      <c r="M90" s="272"/>
    </row>
    <row r="91" spans="1:13" ht="15.75">
      <c r="A91" s="210"/>
      <c r="B91" s="236" t="s">
        <v>338</v>
      </c>
      <c r="C91" s="274">
        <v>0</v>
      </c>
      <c r="D91" s="275">
        <v>100</v>
      </c>
      <c r="E91" s="271">
        <v>0</v>
      </c>
      <c r="F91" s="271">
        <v>0</v>
      </c>
      <c r="G91" s="271">
        <v>0</v>
      </c>
      <c r="H91" s="271">
        <v>0</v>
      </c>
      <c r="I91" s="271">
        <v>0</v>
      </c>
      <c r="J91" s="271">
        <v>0</v>
      </c>
      <c r="K91" s="272"/>
      <c r="L91" s="274"/>
      <c r="M91" s="272"/>
    </row>
    <row r="92" spans="1:13" ht="31.5">
      <c r="A92" s="210"/>
      <c r="B92" s="236" t="s">
        <v>339</v>
      </c>
      <c r="C92" s="274">
        <v>0</v>
      </c>
      <c r="D92" s="275">
        <v>5600</v>
      </c>
      <c r="E92" s="271">
        <v>400</v>
      </c>
      <c r="F92" s="271">
        <v>490</v>
      </c>
      <c r="G92" s="271">
        <v>230</v>
      </c>
      <c r="H92" s="271">
        <v>490</v>
      </c>
      <c r="I92" s="271">
        <v>380</v>
      </c>
      <c r="J92" s="271">
        <v>610</v>
      </c>
      <c r="K92" s="272"/>
      <c r="L92" s="274"/>
      <c r="M92" s="272"/>
    </row>
    <row r="93" spans="1:13" ht="31.5">
      <c r="A93" s="210"/>
      <c r="B93" s="236" t="s">
        <v>357</v>
      </c>
      <c r="C93" s="274">
        <v>0</v>
      </c>
      <c r="D93" s="275">
        <v>1450</v>
      </c>
      <c r="E93" s="271">
        <v>0</v>
      </c>
      <c r="F93" s="271">
        <v>0</v>
      </c>
      <c r="G93" s="271">
        <v>0</v>
      </c>
      <c r="H93" s="271">
        <v>0</v>
      </c>
      <c r="I93" s="271">
        <v>0</v>
      </c>
      <c r="J93" s="271">
        <v>0</v>
      </c>
      <c r="K93" s="272"/>
      <c r="L93" s="274"/>
      <c r="M93" s="272"/>
    </row>
    <row r="94" spans="1:13" ht="63" hidden="1">
      <c r="A94" s="210"/>
      <c r="B94" s="236" t="s">
        <v>340</v>
      </c>
      <c r="C94" s="274">
        <v>0</v>
      </c>
      <c r="D94" s="275">
        <v>0</v>
      </c>
      <c r="E94" s="271">
        <v>0</v>
      </c>
      <c r="F94" s="271">
        <v>0</v>
      </c>
      <c r="G94" s="271">
        <v>0</v>
      </c>
      <c r="H94" s="271">
        <v>0</v>
      </c>
      <c r="I94" s="271">
        <v>0</v>
      </c>
      <c r="J94" s="271">
        <v>0</v>
      </c>
      <c r="K94" s="272"/>
      <c r="L94" s="274"/>
      <c r="M94" s="272"/>
    </row>
    <row r="95" spans="1:13" ht="31.5">
      <c r="A95" s="210"/>
      <c r="B95" s="236" t="s">
        <v>342</v>
      </c>
      <c r="C95" s="274">
        <v>0</v>
      </c>
      <c r="D95" s="275">
        <v>15</v>
      </c>
      <c r="E95" s="271">
        <v>0</v>
      </c>
      <c r="F95" s="271">
        <v>0</v>
      </c>
      <c r="G95" s="271">
        <v>0</v>
      </c>
      <c r="H95" s="271">
        <v>0</v>
      </c>
      <c r="I95" s="271">
        <v>0</v>
      </c>
      <c r="J95" s="271">
        <v>0</v>
      </c>
      <c r="K95" s="272"/>
      <c r="L95" s="274"/>
      <c r="M95" s="272"/>
    </row>
    <row r="96" spans="1:13" ht="15.75">
      <c r="A96" s="210"/>
      <c r="B96" s="236" t="s">
        <v>343</v>
      </c>
      <c r="C96" s="274">
        <v>0</v>
      </c>
      <c r="D96" s="275">
        <v>100</v>
      </c>
      <c r="E96" s="271">
        <v>0</v>
      </c>
      <c r="F96" s="271">
        <v>0</v>
      </c>
      <c r="G96" s="271">
        <v>0</v>
      </c>
      <c r="H96" s="271">
        <v>0</v>
      </c>
      <c r="I96" s="271">
        <v>0</v>
      </c>
      <c r="J96" s="271">
        <v>0</v>
      </c>
      <c r="K96" s="272"/>
      <c r="L96" s="274"/>
      <c r="M96" s="272"/>
    </row>
    <row r="97" spans="1:13" ht="31.5">
      <c r="A97" s="210"/>
      <c r="B97" s="236" t="s">
        <v>344</v>
      </c>
      <c r="C97" s="274">
        <v>0</v>
      </c>
      <c r="D97" s="275">
        <v>0</v>
      </c>
      <c r="E97" s="271">
        <v>25</v>
      </c>
      <c r="F97" s="271">
        <v>27</v>
      </c>
      <c r="G97" s="271">
        <v>20</v>
      </c>
      <c r="H97" s="271">
        <v>100</v>
      </c>
      <c r="I97" s="271">
        <v>40</v>
      </c>
      <c r="J97" s="271">
        <v>23</v>
      </c>
      <c r="K97" s="272"/>
      <c r="L97" s="274"/>
      <c r="M97" s="272"/>
    </row>
    <row r="98" spans="1:13" ht="31.5">
      <c r="A98" s="210"/>
      <c r="B98" s="236" t="s">
        <v>345</v>
      </c>
      <c r="C98" s="274">
        <v>0</v>
      </c>
      <c r="D98" s="275">
        <v>50</v>
      </c>
      <c r="E98" s="271">
        <v>72</v>
      </c>
      <c r="F98" s="271">
        <v>28</v>
      </c>
      <c r="G98" s="271">
        <v>20</v>
      </c>
      <c r="H98" s="271">
        <v>30</v>
      </c>
      <c r="I98" s="271">
        <v>22</v>
      </c>
      <c r="J98" s="271">
        <v>12.5</v>
      </c>
      <c r="K98" s="272"/>
      <c r="L98" s="274"/>
      <c r="M98" s="272"/>
    </row>
    <row r="99" spans="1:13" ht="63">
      <c r="A99" s="210"/>
      <c r="B99" s="236" t="s">
        <v>358</v>
      </c>
      <c r="C99" s="271">
        <v>0</v>
      </c>
      <c r="D99" s="276">
        <v>0</v>
      </c>
      <c r="E99" s="271">
        <v>25</v>
      </c>
      <c r="F99" s="271">
        <v>0</v>
      </c>
      <c r="G99" s="271">
        <v>30</v>
      </c>
      <c r="H99" s="271">
        <v>0</v>
      </c>
      <c r="I99" s="271">
        <v>10</v>
      </c>
      <c r="J99" s="271">
        <v>0</v>
      </c>
      <c r="K99" s="272"/>
      <c r="L99" s="271"/>
      <c r="M99" s="272"/>
    </row>
    <row r="100" spans="1:13" ht="15.75">
      <c r="A100" s="210"/>
      <c r="B100" s="236" t="s">
        <v>359</v>
      </c>
      <c r="C100" s="271">
        <v>0</v>
      </c>
      <c r="D100" s="276">
        <v>0</v>
      </c>
      <c r="E100" s="271">
        <v>0</v>
      </c>
      <c r="F100" s="271">
        <v>0</v>
      </c>
      <c r="G100" s="271">
        <v>0</v>
      </c>
      <c r="H100" s="271">
        <v>585.6</v>
      </c>
      <c r="I100" s="271">
        <v>0</v>
      </c>
      <c r="J100" s="271">
        <v>0</v>
      </c>
      <c r="K100" s="272"/>
      <c r="L100" s="271"/>
      <c r="M100" s="272"/>
    </row>
    <row r="101" spans="1:13" ht="15.75">
      <c r="A101" s="210"/>
      <c r="B101" s="236" t="s">
        <v>360</v>
      </c>
      <c r="C101" s="271">
        <v>0</v>
      </c>
      <c r="D101" s="276">
        <v>0</v>
      </c>
      <c r="E101" s="271">
        <v>50</v>
      </c>
      <c r="F101" s="271">
        <v>0</v>
      </c>
      <c r="G101" s="271">
        <v>0</v>
      </c>
      <c r="H101" s="271">
        <v>0</v>
      </c>
      <c r="I101" s="271">
        <v>0</v>
      </c>
      <c r="J101" s="271">
        <v>0</v>
      </c>
      <c r="K101" s="272"/>
      <c r="L101" s="271"/>
      <c r="M101" s="272"/>
    </row>
    <row r="102" spans="1:13" ht="31.5">
      <c r="A102" s="210"/>
      <c r="B102" s="236" t="s">
        <v>361</v>
      </c>
      <c r="C102" s="271">
        <v>0</v>
      </c>
      <c r="D102" s="276">
        <v>0</v>
      </c>
      <c r="E102" s="271">
        <v>0</v>
      </c>
      <c r="F102" s="271">
        <v>0</v>
      </c>
      <c r="G102" s="271">
        <v>5</v>
      </c>
      <c r="H102" s="271">
        <v>0</v>
      </c>
      <c r="I102" s="271">
        <v>0</v>
      </c>
      <c r="J102" s="271">
        <v>0</v>
      </c>
      <c r="K102" s="272"/>
      <c r="L102" s="271"/>
      <c r="M102" s="272"/>
    </row>
    <row r="103" spans="1:13" ht="31.5">
      <c r="A103" s="210"/>
      <c r="B103" s="236" t="s">
        <v>362</v>
      </c>
      <c r="C103" s="271">
        <v>0</v>
      </c>
      <c r="D103" s="276">
        <v>500</v>
      </c>
      <c r="E103" s="271">
        <v>514.6</v>
      </c>
      <c r="F103" s="271">
        <v>167.3</v>
      </c>
      <c r="G103" s="271">
        <v>907.7</v>
      </c>
      <c r="H103" s="271">
        <v>383.8</v>
      </c>
      <c r="I103" s="271">
        <v>254.9</v>
      </c>
      <c r="J103" s="271">
        <v>526</v>
      </c>
      <c r="K103" s="272"/>
      <c r="L103" s="271"/>
      <c r="M103" s="272"/>
    </row>
    <row r="104" spans="1:13" ht="15.75" hidden="1">
      <c r="A104" s="210" t="s">
        <v>111</v>
      </c>
      <c r="B104" s="39" t="s">
        <v>112</v>
      </c>
      <c r="C104" s="271"/>
      <c r="D104" s="271"/>
      <c r="E104" s="271"/>
      <c r="F104" s="271"/>
      <c r="G104" s="271"/>
      <c r="H104" s="271"/>
      <c r="I104" s="271"/>
      <c r="J104" s="271"/>
      <c r="K104" s="272">
        <f t="shared" si="13"/>
        <v>0</v>
      </c>
      <c r="L104" s="271"/>
      <c r="M104" s="272">
        <f t="shared" si="14"/>
        <v>0</v>
      </c>
    </row>
    <row r="105" spans="1:13" ht="47.25" hidden="1">
      <c r="A105" s="210" t="s">
        <v>113</v>
      </c>
      <c r="B105" s="39" t="s">
        <v>114</v>
      </c>
      <c r="C105" s="271"/>
      <c r="D105" s="271"/>
      <c r="E105" s="271"/>
      <c r="F105" s="271"/>
      <c r="G105" s="271"/>
      <c r="H105" s="271"/>
      <c r="I105" s="271"/>
      <c r="J105" s="271"/>
      <c r="K105" s="272">
        <f t="shared" si="13"/>
        <v>0</v>
      </c>
      <c r="L105" s="271"/>
      <c r="M105" s="272">
        <f t="shared" si="14"/>
        <v>0</v>
      </c>
    </row>
    <row r="106" spans="1:13" s="246" customFormat="1" ht="15.75">
      <c r="A106" s="206" t="s">
        <v>115</v>
      </c>
      <c r="B106" s="207" t="s">
        <v>217</v>
      </c>
      <c r="C106" s="267">
        <f>C111+C112+C117+C125+C129+C137</f>
        <v>513331.10000000003</v>
      </c>
      <c r="D106" s="267">
        <f aca="true" t="shared" si="16" ref="D106:J106">D111+D112+D117+D125+D129+D137</f>
        <v>0</v>
      </c>
      <c r="E106" s="267">
        <f t="shared" si="16"/>
        <v>0</v>
      </c>
      <c r="F106" s="267">
        <f t="shared" si="16"/>
        <v>0</v>
      </c>
      <c r="G106" s="267">
        <f t="shared" si="16"/>
        <v>0</v>
      </c>
      <c r="H106" s="267">
        <f t="shared" si="16"/>
        <v>0</v>
      </c>
      <c r="I106" s="267">
        <f t="shared" si="16"/>
        <v>0</v>
      </c>
      <c r="J106" s="267">
        <f t="shared" si="16"/>
        <v>0</v>
      </c>
      <c r="K106" s="268">
        <f t="shared" si="13"/>
        <v>0</v>
      </c>
      <c r="L106" s="267">
        <f>L111+L112+L117+L125+L129+L137</f>
        <v>0</v>
      </c>
      <c r="M106" s="268">
        <f t="shared" si="14"/>
        <v>513331.10000000003</v>
      </c>
    </row>
    <row r="107" spans="1:13" s="246" customFormat="1" ht="31.5" hidden="1">
      <c r="A107" s="204"/>
      <c r="B107" s="212" t="s">
        <v>116</v>
      </c>
      <c r="C107" s="270"/>
      <c r="D107" s="270"/>
      <c r="E107" s="270"/>
      <c r="F107" s="270"/>
      <c r="G107" s="270"/>
      <c r="H107" s="270"/>
      <c r="I107" s="270"/>
      <c r="J107" s="270"/>
      <c r="K107" s="268">
        <f t="shared" si="13"/>
        <v>0</v>
      </c>
      <c r="L107" s="270"/>
      <c r="M107" s="268">
        <f t="shared" si="14"/>
        <v>0</v>
      </c>
    </row>
    <row r="108" spans="1:13" s="246" customFormat="1" ht="31.5" hidden="1">
      <c r="A108" s="204"/>
      <c r="B108" s="212" t="s">
        <v>117</v>
      </c>
      <c r="C108" s="270"/>
      <c r="D108" s="270"/>
      <c r="E108" s="270"/>
      <c r="F108" s="270"/>
      <c r="G108" s="270"/>
      <c r="H108" s="270"/>
      <c r="I108" s="270"/>
      <c r="J108" s="270"/>
      <c r="K108" s="268">
        <f t="shared" si="13"/>
        <v>0</v>
      </c>
      <c r="L108" s="270"/>
      <c r="M108" s="268">
        <f t="shared" si="14"/>
        <v>0</v>
      </c>
    </row>
    <row r="109" spans="1:13" s="246" customFormat="1" ht="15.75" hidden="1">
      <c r="A109" s="204"/>
      <c r="B109" s="212" t="s">
        <v>118</v>
      </c>
      <c r="C109" s="270"/>
      <c r="D109" s="270"/>
      <c r="E109" s="270"/>
      <c r="F109" s="270"/>
      <c r="G109" s="270"/>
      <c r="H109" s="270"/>
      <c r="I109" s="270"/>
      <c r="J109" s="270"/>
      <c r="K109" s="268">
        <f t="shared" si="13"/>
        <v>0</v>
      </c>
      <c r="L109" s="270"/>
      <c r="M109" s="268">
        <f t="shared" si="14"/>
        <v>0</v>
      </c>
    </row>
    <row r="110" spans="1:13" s="246" customFormat="1" ht="15.75" hidden="1">
      <c r="A110" s="204"/>
      <c r="B110" s="212" t="s">
        <v>119</v>
      </c>
      <c r="C110" s="270"/>
      <c r="D110" s="270"/>
      <c r="E110" s="270"/>
      <c r="F110" s="270"/>
      <c r="G110" s="270"/>
      <c r="H110" s="270"/>
      <c r="I110" s="270"/>
      <c r="J110" s="270"/>
      <c r="K110" s="268">
        <f t="shared" si="13"/>
        <v>0</v>
      </c>
      <c r="L110" s="270"/>
      <c r="M110" s="268">
        <f t="shared" si="14"/>
        <v>0</v>
      </c>
    </row>
    <row r="111" spans="1:13" s="246" customFormat="1" ht="15.75">
      <c r="A111" s="204" t="s">
        <v>120</v>
      </c>
      <c r="B111" s="212" t="s">
        <v>9</v>
      </c>
      <c r="C111" s="270">
        <v>153068.1</v>
      </c>
      <c r="D111" s="270">
        <v>0</v>
      </c>
      <c r="E111" s="270">
        <v>0</v>
      </c>
      <c r="F111" s="270">
        <v>0</v>
      </c>
      <c r="G111" s="270">
        <v>0</v>
      </c>
      <c r="H111" s="270">
        <v>0</v>
      </c>
      <c r="I111" s="270">
        <v>0</v>
      </c>
      <c r="J111" s="270">
        <v>0</v>
      </c>
      <c r="K111" s="268">
        <f t="shared" si="13"/>
        <v>0</v>
      </c>
      <c r="L111" s="270"/>
      <c r="M111" s="268">
        <f t="shared" si="14"/>
        <v>153068.1</v>
      </c>
    </row>
    <row r="112" spans="1:13" s="246" customFormat="1" ht="15.75">
      <c r="A112" s="204" t="s">
        <v>121</v>
      </c>
      <c r="B112" s="212" t="s">
        <v>1</v>
      </c>
      <c r="C112" s="270">
        <f>C114</f>
        <v>306244.3</v>
      </c>
      <c r="D112" s="270">
        <f aca="true" t="shared" si="17" ref="D112:J112">D114</f>
        <v>0</v>
      </c>
      <c r="E112" s="270">
        <f t="shared" si="17"/>
        <v>0</v>
      </c>
      <c r="F112" s="270">
        <f t="shared" si="17"/>
        <v>0</v>
      </c>
      <c r="G112" s="270">
        <f t="shared" si="17"/>
        <v>0</v>
      </c>
      <c r="H112" s="270">
        <f t="shared" si="17"/>
        <v>0</v>
      </c>
      <c r="I112" s="270">
        <f t="shared" si="17"/>
        <v>0</v>
      </c>
      <c r="J112" s="270">
        <f t="shared" si="17"/>
        <v>0</v>
      </c>
      <c r="K112" s="268">
        <f t="shared" si="13"/>
        <v>0</v>
      </c>
      <c r="L112" s="270">
        <f>L114</f>
        <v>0</v>
      </c>
      <c r="M112" s="268">
        <f t="shared" si="14"/>
        <v>306244.3</v>
      </c>
    </row>
    <row r="113" spans="1:13" s="246" customFormat="1" ht="15.75" hidden="1">
      <c r="A113" s="204"/>
      <c r="B113" s="212" t="s">
        <v>122</v>
      </c>
      <c r="C113" s="270"/>
      <c r="D113" s="270"/>
      <c r="E113" s="270"/>
      <c r="F113" s="270"/>
      <c r="G113" s="270"/>
      <c r="H113" s="270"/>
      <c r="I113" s="270"/>
      <c r="J113" s="270"/>
      <c r="K113" s="268">
        <f t="shared" si="13"/>
        <v>0</v>
      </c>
      <c r="L113" s="270"/>
      <c r="M113" s="268">
        <f t="shared" si="14"/>
        <v>0</v>
      </c>
    </row>
    <row r="114" spans="1:13" s="246" customFormat="1" ht="31.5" hidden="1">
      <c r="A114" s="204" t="s">
        <v>121</v>
      </c>
      <c r="B114" s="212" t="s">
        <v>306</v>
      </c>
      <c r="C114" s="270">
        <v>306244.3</v>
      </c>
      <c r="D114" s="270">
        <v>0</v>
      </c>
      <c r="E114" s="270">
        <v>0</v>
      </c>
      <c r="F114" s="270">
        <v>0</v>
      </c>
      <c r="G114" s="270">
        <v>0</v>
      </c>
      <c r="H114" s="270">
        <v>0</v>
      </c>
      <c r="I114" s="270">
        <v>0</v>
      </c>
      <c r="J114" s="270">
        <v>0</v>
      </c>
      <c r="K114" s="268">
        <f t="shared" si="13"/>
        <v>0</v>
      </c>
      <c r="L114" s="270"/>
      <c r="M114" s="268">
        <f t="shared" si="14"/>
        <v>306244.3</v>
      </c>
    </row>
    <row r="115" spans="1:13" s="246" customFormat="1" ht="31.5" hidden="1">
      <c r="A115" s="204"/>
      <c r="B115" s="212" t="s">
        <v>188</v>
      </c>
      <c r="C115" s="270"/>
      <c r="D115" s="270"/>
      <c r="E115" s="270"/>
      <c r="F115" s="270"/>
      <c r="G115" s="270"/>
      <c r="H115" s="270"/>
      <c r="I115" s="270"/>
      <c r="J115" s="270"/>
      <c r="K115" s="268">
        <f t="shared" si="13"/>
        <v>0</v>
      </c>
      <c r="L115" s="270"/>
      <c r="M115" s="268">
        <f t="shared" si="14"/>
        <v>0</v>
      </c>
    </row>
    <row r="116" spans="1:13" s="246" customFormat="1" ht="15.75" hidden="1">
      <c r="A116" s="204"/>
      <c r="B116" s="212"/>
      <c r="C116" s="270"/>
      <c r="D116" s="270"/>
      <c r="E116" s="270"/>
      <c r="F116" s="270"/>
      <c r="G116" s="270"/>
      <c r="H116" s="270"/>
      <c r="I116" s="270"/>
      <c r="J116" s="270"/>
      <c r="K116" s="268">
        <f t="shared" si="13"/>
        <v>0</v>
      </c>
      <c r="L116" s="270"/>
      <c r="M116" s="268">
        <f t="shared" si="14"/>
        <v>0</v>
      </c>
    </row>
    <row r="117" spans="1:13" s="246" customFormat="1" ht="31.5">
      <c r="A117" s="204" t="s">
        <v>236</v>
      </c>
      <c r="B117" s="212" t="s">
        <v>263</v>
      </c>
      <c r="C117" s="270">
        <f>C118+C120+C121</f>
        <v>27906.2</v>
      </c>
      <c r="D117" s="270">
        <f aca="true" t="shared" si="18" ref="D117:J117">D118+D120+D121</f>
        <v>0</v>
      </c>
      <c r="E117" s="270">
        <f t="shared" si="18"/>
        <v>0</v>
      </c>
      <c r="F117" s="270">
        <f t="shared" si="18"/>
        <v>0</v>
      </c>
      <c r="G117" s="270">
        <f t="shared" si="18"/>
        <v>0</v>
      </c>
      <c r="H117" s="270">
        <f t="shared" si="18"/>
        <v>0</v>
      </c>
      <c r="I117" s="270">
        <f t="shared" si="18"/>
        <v>0</v>
      </c>
      <c r="J117" s="270">
        <f t="shared" si="18"/>
        <v>0</v>
      </c>
      <c r="K117" s="268">
        <f t="shared" si="13"/>
        <v>0</v>
      </c>
      <c r="L117" s="270">
        <f>L118+L120+L121</f>
        <v>0</v>
      </c>
      <c r="M117" s="268">
        <f t="shared" si="14"/>
        <v>27906.2</v>
      </c>
    </row>
    <row r="118" spans="1:13" ht="47.25">
      <c r="A118" s="210" t="s">
        <v>236</v>
      </c>
      <c r="B118" s="39" t="s">
        <v>307</v>
      </c>
      <c r="C118" s="271">
        <v>15411.7</v>
      </c>
      <c r="D118" s="271">
        <v>0</v>
      </c>
      <c r="E118" s="271">
        <v>0</v>
      </c>
      <c r="F118" s="271">
        <v>0</v>
      </c>
      <c r="G118" s="271">
        <v>0</v>
      </c>
      <c r="H118" s="271">
        <v>0</v>
      </c>
      <c r="I118" s="271">
        <v>0</v>
      </c>
      <c r="J118" s="271">
        <v>0</v>
      </c>
      <c r="K118" s="272">
        <f t="shared" si="13"/>
        <v>0</v>
      </c>
      <c r="L118" s="271"/>
      <c r="M118" s="272">
        <f t="shared" si="14"/>
        <v>15411.7</v>
      </c>
    </row>
    <row r="119" spans="1:13" ht="31.5">
      <c r="A119" s="210"/>
      <c r="B119" s="39" t="s">
        <v>188</v>
      </c>
      <c r="C119" s="271"/>
      <c r="D119" s="271"/>
      <c r="E119" s="271"/>
      <c r="F119" s="271"/>
      <c r="G119" s="271"/>
      <c r="H119" s="271"/>
      <c r="I119" s="271"/>
      <c r="J119" s="271"/>
      <c r="K119" s="272">
        <f t="shared" si="13"/>
        <v>0</v>
      </c>
      <c r="L119" s="271"/>
      <c r="M119" s="272">
        <f t="shared" si="14"/>
        <v>0</v>
      </c>
    </row>
    <row r="120" spans="1:13" ht="15.75">
      <c r="A120" s="210" t="s">
        <v>236</v>
      </c>
      <c r="B120" s="39" t="s">
        <v>123</v>
      </c>
      <c r="C120" s="271">
        <v>0</v>
      </c>
      <c r="D120" s="271">
        <v>0</v>
      </c>
      <c r="E120" s="271">
        <v>0</v>
      </c>
      <c r="F120" s="271">
        <v>0</v>
      </c>
      <c r="G120" s="271">
        <v>0</v>
      </c>
      <c r="H120" s="271">
        <v>0</v>
      </c>
      <c r="I120" s="271">
        <v>0</v>
      </c>
      <c r="J120" s="271">
        <v>0</v>
      </c>
      <c r="K120" s="272">
        <f t="shared" si="13"/>
        <v>0</v>
      </c>
      <c r="L120" s="271"/>
      <c r="M120" s="272">
        <f t="shared" si="14"/>
        <v>0</v>
      </c>
    </row>
    <row r="121" spans="1:13" ht="15.75">
      <c r="A121" s="210" t="s">
        <v>236</v>
      </c>
      <c r="B121" s="39" t="s">
        <v>308</v>
      </c>
      <c r="C121" s="271">
        <v>12494.5</v>
      </c>
      <c r="D121" s="271">
        <v>0</v>
      </c>
      <c r="E121" s="271">
        <v>0</v>
      </c>
      <c r="F121" s="271">
        <v>0</v>
      </c>
      <c r="G121" s="271">
        <v>0</v>
      </c>
      <c r="H121" s="271">
        <v>0</v>
      </c>
      <c r="I121" s="271">
        <v>0</v>
      </c>
      <c r="J121" s="271">
        <v>0</v>
      </c>
      <c r="K121" s="272">
        <f t="shared" si="13"/>
        <v>0</v>
      </c>
      <c r="L121" s="271"/>
      <c r="M121" s="272">
        <f t="shared" si="14"/>
        <v>12494.5</v>
      </c>
    </row>
    <row r="122" spans="1:13" ht="31.5" hidden="1">
      <c r="A122" s="210"/>
      <c r="B122" s="39" t="s">
        <v>188</v>
      </c>
      <c r="C122" s="271"/>
      <c r="D122" s="271"/>
      <c r="E122" s="271"/>
      <c r="F122" s="271"/>
      <c r="G122" s="271"/>
      <c r="H122" s="271"/>
      <c r="I122" s="271"/>
      <c r="J122" s="271"/>
      <c r="K122" s="272">
        <f t="shared" si="13"/>
        <v>0</v>
      </c>
      <c r="L122" s="271"/>
      <c r="M122" s="272">
        <f t="shared" si="14"/>
        <v>0</v>
      </c>
    </row>
    <row r="123" spans="1:13" ht="15.75" hidden="1">
      <c r="A123" s="210"/>
      <c r="B123" s="39"/>
      <c r="C123" s="271"/>
      <c r="D123" s="271"/>
      <c r="E123" s="271"/>
      <c r="F123" s="271"/>
      <c r="G123" s="271"/>
      <c r="H123" s="271"/>
      <c r="I123" s="271"/>
      <c r="J123" s="271"/>
      <c r="K123" s="272">
        <f t="shared" si="13"/>
        <v>0</v>
      </c>
      <c r="L123" s="271"/>
      <c r="M123" s="272">
        <f t="shared" si="14"/>
        <v>0</v>
      </c>
    </row>
    <row r="124" spans="1:13" ht="94.5" hidden="1">
      <c r="A124" s="210"/>
      <c r="B124" s="39" t="s">
        <v>124</v>
      </c>
      <c r="C124" s="271">
        <v>0</v>
      </c>
      <c r="D124" s="271">
        <v>0</v>
      </c>
      <c r="E124" s="271">
        <v>0</v>
      </c>
      <c r="F124" s="271">
        <v>0</v>
      </c>
      <c r="G124" s="271">
        <v>0</v>
      </c>
      <c r="H124" s="271">
        <v>0</v>
      </c>
      <c r="I124" s="271">
        <v>0</v>
      </c>
      <c r="J124" s="271">
        <v>0</v>
      </c>
      <c r="K124" s="272">
        <f t="shared" si="13"/>
        <v>0</v>
      </c>
      <c r="L124" s="271">
        <v>0</v>
      </c>
      <c r="M124" s="272">
        <f t="shared" si="14"/>
        <v>0</v>
      </c>
    </row>
    <row r="125" spans="1:13" ht="15.75" hidden="1">
      <c r="A125" s="210" t="s">
        <v>125</v>
      </c>
      <c r="B125" s="39" t="s">
        <v>126</v>
      </c>
      <c r="C125" s="271">
        <v>0</v>
      </c>
      <c r="D125" s="271">
        <v>0</v>
      </c>
      <c r="E125" s="271">
        <v>0</v>
      </c>
      <c r="F125" s="271">
        <v>0</v>
      </c>
      <c r="G125" s="271">
        <v>0</v>
      </c>
      <c r="H125" s="271">
        <v>0</v>
      </c>
      <c r="I125" s="271">
        <v>0</v>
      </c>
      <c r="J125" s="271">
        <v>0</v>
      </c>
      <c r="K125" s="272">
        <f t="shared" si="13"/>
        <v>0</v>
      </c>
      <c r="L125" s="271">
        <v>0</v>
      </c>
      <c r="M125" s="272">
        <f t="shared" si="14"/>
        <v>0</v>
      </c>
    </row>
    <row r="126" spans="1:13" ht="15.75" hidden="1">
      <c r="A126" s="210"/>
      <c r="B126" s="39" t="s">
        <v>122</v>
      </c>
      <c r="C126" s="271"/>
      <c r="D126" s="271"/>
      <c r="E126" s="271"/>
      <c r="F126" s="271"/>
      <c r="G126" s="271"/>
      <c r="H126" s="271"/>
      <c r="I126" s="271"/>
      <c r="J126" s="271"/>
      <c r="K126" s="272">
        <f t="shared" si="13"/>
        <v>0</v>
      </c>
      <c r="L126" s="271"/>
      <c r="M126" s="272">
        <f t="shared" si="14"/>
        <v>0</v>
      </c>
    </row>
    <row r="127" spans="1:13" ht="15.75" hidden="1">
      <c r="A127" s="210"/>
      <c r="B127" s="39" t="s">
        <v>127</v>
      </c>
      <c r="C127" s="271"/>
      <c r="D127" s="271"/>
      <c r="E127" s="271"/>
      <c r="F127" s="271"/>
      <c r="G127" s="271"/>
      <c r="H127" s="271"/>
      <c r="I127" s="271"/>
      <c r="J127" s="271"/>
      <c r="K127" s="272">
        <f t="shared" si="13"/>
        <v>0</v>
      </c>
      <c r="L127" s="271"/>
      <c r="M127" s="272">
        <f t="shared" si="14"/>
        <v>0</v>
      </c>
    </row>
    <row r="128" spans="1:13" ht="15.75" hidden="1">
      <c r="A128" s="210"/>
      <c r="B128" s="39" t="s">
        <v>128</v>
      </c>
      <c r="C128" s="271"/>
      <c r="D128" s="271"/>
      <c r="E128" s="271"/>
      <c r="F128" s="271"/>
      <c r="G128" s="271"/>
      <c r="H128" s="271"/>
      <c r="I128" s="271"/>
      <c r="J128" s="271"/>
      <c r="K128" s="272">
        <f t="shared" si="13"/>
        <v>0</v>
      </c>
      <c r="L128" s="271"/>
      <c r="M128" s="272">
        <f t="shared" si="14"/>
        <v>0</v>
      </c>
    </row>
    <row r="129" spans="1:13" s="246" customFormat="1" ht="31.5">
      <c r="A129" s="204" t="s">
        <v>129</v>
      </c>
      <c r="B129" s="212" t="s">
        <v>264</v>
      </c>
      <c r="C129" s="270">
        <f>SUM(C131:C136)</f>
        <v>4118.200000000001</v>
      </c>
      <c r="D129" s="270">
        <f aca="true" t="shared" si="19" ref="D129:J129">SUM(D131:D136)</f>
        <v>0</v>
      </c>
      <c r="E129" s="270">
        <f t="shared" si="19"/>
        <v>0</v>
      </c>
      <c r="F129" s="270">
        <f t="shared" si="19"/>
        <v>0</v>
      </c>
      <c r="G129" s="270">
        <f t="shared" si="19"/>
        <v>0</v>
      </c>
      <c r="H129" s="270">
        <f t="shared" si="19"/>
        <v>0</v>
      </c>
      <c r="I129" s="270">
        <f t="shared" si="19"/>
        <v>0</v>
      </c>
      <c r="J129" s="270">
        <f t="shared" si="19"/>
        <v>0</v>
      </c>
      <c r="K129" s="268">
        <f t="shared" si="13"/>
        <v>0</v>
      </c>
      <c r="L129" s="270">
        <f>SUM(L131:L136)</f>
        <v>0</v>
      </c>
      <c r="M129" s="268">
        <f t="shared" si="14"/>
        <v>4118.200000000001</v>
      </c>
    </row>
    <row r="130" spans="1:13" ht="15.75" hidden="1">
      <c r="A130" s="210"/>
      <c r="B130" s="39" t="s">
        <v>122</v>
      </c>
      <c r="C130" s="271"/>
      <c r="D130" s="271"/>
      <c r="E130" s="271"/>
      <c r="F130" s="271"/>
      <c r="G130" s="271"/>
      <c r="H130" s="271"/>
      <c r="I130" s="271"/>
      <c r="J130" s="271"/>
      <c r="K130" s="272">
        <f t="shared" si="13"/>
        <v>0</v>
      </c>
      <c r="L130" s="271"/>
      <c r="M130" s="272">
        <f t="shared" si="14"/>
        <v>0</v>
      </c>
    </row>
    <row r="131" spans="1:13" ht="47.25">
      <c r="A131" s="210"/>
      <c r="B131" s="220" t="s">
        <v>309</v>
      </c>
      <c r="C131" s="277">
        <v>2391.4</v>
      </c>
      <c r="D131" s="277">
        <v>0</v>
      </c>
      <c r="E131" s="277">
        <v>0</v>
      </c>
      <c r="F131" s="277">
        <v>0</v>
      </c>
      <c r="G131" s="277">
        <v>0</v>
      </c>
      <c r="H131" s="277">
        <v>0</v>
      </c>
      <c r="I131" s="277">
        <v>0</v>
      </c>
      <c r="J131" s="277">
        <v>0</v>
      </c>
      <c r="K131" s="272">
        <f t="shared" si="13"/>
        <v>0</v>
      </c>
      <c r="L131" s="277"/>
      <c r="M131" s="272">
        <f t="shared" si="14"/>
        <v>2391.4</v>
      </c>
    </row>
    <row r="132" spans="1:13" ht="47.25">
      <c r="A132" s="210"/>
      <c r="B132" s="39" t="s">
        <v>130</v>
      </c>
      <c r="C132" s="271">
        <v>306.8</v>
      </c>
      <c r="D132" s="271">
        <v>0</v>
      </c>
      <c r="E132" s="271">
        <v>0</v>
      </c>
      <c r="F132" s="271">
        <v>0</v>
      </c>
      <c r="G132" s="271">
        <v>0</v>
      </c>
      <c r="H132" s="271">
        <v>0</v>
      </c>
      <c r="I132" s="271">
        <v>0</v>
      </c>
      <c r="J132" s="271">
        <v>0</v>
      </c>
      <c r="K132" s="272">
        <f t="shared" si="13"/>
        <v>0</v>
      </c>
      <c r="L132" s="271"/>
      <c r="M132" s="272">
        <f t="shared" si="14"/>
        <v>306.8</v>
      </c>
    </row>
    <row r="133" spans="1:13" ht="31.5">
      <c r="A133" s="210"/>
      <c r="B133" s="220" t="s">
        <v>310</v>
      </c>
      <c r="C133" s="271">
        <v>18</v>
      </c>
      <c r="D133" s="271">
        <v>0</v>
      </c>
      <c r="E133" s="271">
        <v>0</v>
      </c>
      <c r="F133" s="271">
        <v>0</v>
      </c>
      <c r="G133" s="271">
        <v>0</v>
      </c>
      <c r="H133" s="271">
        <v>0</v>
      </c>
      <c r="I133" s="271">
        <v>0</v>
      </c>
      <c r="J133" s="271">
        <v>0</v>
      </c>
      <c r="K133" s="272">
        <f t="shared" si="13"/>
        <v>0</v>
      </c>
      <c r="L133" s="271"/>
      <c r="M133" s="272">
        <f t="shared" si="14"/>
        <v>18</v>
      </c>
    </row>
    <row r="134" spans="1:13" ht="63">
      <c r="A134" s="210"/>
      <c r="B134" s="220" t="s">
        <v>311</v>
      </c>
      <c r="C134" s="271">
        <v>1208</v>
      </c>
      <c r="D134" s="271">
        <v>0</v>
      </c>
      <c r="E134" s="271">
        <v>0</v>
      </c>
      <c r="F134" s="271">
        <v>0</v>
      </c>
      <c r="G134" s="271">
        <v>0</v>
      </c>
      <c r="H134" s="271">
        <v>0</v>
      </c>
      <c r="I134" s="271">
        <v>0</v>
      </c>
      <c r="J134" s="271">
        <v>0</v>
      </c>
      <c r="K134" s="272">
        <f t="shared" si="13"/>
        <v>0</v>
      </c>
      <c r="L134" s="271"/>
      <c r="M134" s="272">
        <f t="shared" si="14"/>
        <v>1208</v>
      </c>
    </row>
    <row r="135" spans="1:13" ht="63">
      <c r="A135" s="210"/>
      <c r="B135" s="220" t="s">
        <v>312</v>
      </c>
      <c r="C135" s="271">
        <f>114</f>
        <v>114</v>
      </c>
      <c r="D135" s="271">
        <v>0</v>
      </c>
      <c r="E135" s="271">
        <v>0</v>
      </c>
      <c r="F135" s="271">
        <v>0</v>
      </c>
      <c r="G135" s="271">
        <v>0</v>
      </c>
      <c r="H135" s="271">
        <v>0</v>
      </c>
      <c r="I135" s="271">
        <v>0</v>
      </c>
      <c r="J135" s="271">
        <v>0</v>
      </c>
      <c r="K135" s="272">
        <f t="shared" si="13"/>
        <v>0</v>
      </c>
      <c r="L135" s="271"/>
      <c r="M135" s="272">
        <f t="shared" si="14"/>
        <v>114</v>
      </c>
    </row>
    <row r="136" spans="1:13" ht="47.25">
      <c r="A136" s="210"/>
      <c r="B136" s="220" t="s">
        <v>313</v>
      </c>
      <c r="C136" s="271">
        <f>30+50</f>
        <v>80</v>
      </c>
      <c r="D136" s="271">
        <v>0</v>
      </c>
      <c r="E136" s="271">
        <v>0</v>
      </c>
      <c r="F136" s="271">
        <v>0</v>
      </c>
      <c r="G136" s="271">
        <v>0</v>
      </c>
      <c r="H136" s="271">
        <v>0</v>
      </c>
      <c r="I136" s="271">
        <v>0</v>
      </c>
      <c r="J136" s="271">
        <v>0</v>
      </c>
      <c r="K136" s="272">
        <f t="shared" si="13"/>
        <v>0</v>
      </c>
      <c r="L136" s="271"/>
      <c r="M136" s="272">
        <f t="shared" si="14"/>
        <v>80</v>
      </c>
    </row>
    <row r="137" spans="1:13" s="246" customFormat="1" ht="31.5">
      <c r="A137" s="204" t="s">
        <v>131</v>
      </c>
      <c r="B137" s="212" t="s">
        <v>314</v>
      </c>
      <c r="C137" s="270">
        <f>C139+C140+C141</f>
        <v>21994.3</v>
      </c>
      <c r="D137" s="270">
        <f aca="true" t="shared" si="20" ref="D137:J137">D139+D140+D141</f>
        <v>0</v>
      </c>
      <c r="E137" s="270">
        <f t="shared" si="20"/>
        <v>0</v>
      </c>
      <c r="F137" s="270">
        <f t="shared" si="20"/>
        <v>0</v>
      </c>
      <c r="G137" s="270">
        <f t="shared" si="20"/>
        <v>0</v>
      </c>
      <c r="H137" s="270">
        <f t="shared" si="20"/>
        <v>0</v>
      </c>
      <c r="I137" s="270">
        <f t="shared" si="20"/>
        <v>0</v>
      </c>
      <c r="J137" s="270">
        <f t="shared" si="20"/>
        <v>0</v>
      </c>
      <c r="K137" s="268">
        <f aca="true" t="shared" si="21" ref="K137:K198">SUM(D137:J137)</f>
        <v>0</v>
      </c>
      <c r="L137" s="270">
        <f>L139+L140+L141</f>
        <v>0</v>
      </c>
      <c r="M137" s="268">
        <f aca="true" t="shared" si="22" ref="M137:M198">K137+C137-L137</f>
        <v>21994.3</v>
      </c>
    </row>
    <row r="138" spans="1:13" ht="15.75" hidden="1">
      <c r="A138" s="210"/>
      <c r="B138" s="39" t="s">
        <v>122</v>
      </c>
      <c r="C138" s="271"/>
      <c r="D138" s="271"/>
      <c r="E138" s="271"/>
      <c r="F138" s="271"/>
      <c r="G138" s="271"/>
      <c r="H138" s="271"/>
      <c r="I138" s="271"/>
      <c r="J138" s="271"/>
      <c r="K138" s="272">
        <f t="shared" si="21"/>
        <v>0</v>
      </c>
      <c r="L138" s="271"/>
      <c r="M138" s="272">
        <f t="shared" si="22"/>
        <v>0</v>
      </c>
    </row>
    <row r="139" spans="1:13" ht="15.75">
      <c r="A139" s="210"/>
      <c r="B139" s="39" t="s">
        <v>132</v>
      </c>
      <c r="C139" s="277">
        <v>2117.6</v>
      </c>
      <c r="D139" s="277">
        <v>0</v>
      </c>
      <c r="E139" s="277">
        <v>0</v>
      </c>
      <c r="F139" s="277">
        <v>0</v>
      </c>
      <c r="G139" s="277">
        <v>0</v>
      </c>
      <c r="H139" s="277">
        <v>0</v>
      </c>
      <c r="I139" s="277">
        <v>0</v>
      </c>
      <c r="J139" s="277">
        <v>0</v>
      </c>
      <c r="K139" s="272">
        <f t="shared" si="21"/>
        <v>0</v>
      </c>
      <c r="L139" s="277"/>
      <c r="M139" s="272">
        <f t="shared" si="22"/>
        <v>2117.6</v>
      </c>
    </row>
    <row r="140" spans="1:13" ht="47.25">
      <c r="A140" s="210"/>
      <c r="B140" s="39" t="s">
        <v>133</v>
      </c>
      <c r="C140" s="271">
        <v>19226.7</v>
      </c>
      <c r="D140" s="271">
        <v>0</v>
      </c>
      <c r="E140" s="271">
        <v>0</v>
      </c>
      <c r="F140" s="271">
        <v>0</v>
      </c>
      <c r="G140" s="271">
        <v>0</v>
      </c>
      <c r="H140" s="271">
        <v>0</v>
      </c>
      <c r="I140" s="271">
        <v>0</v>
      </c>
      <c r="J140" s="271">
        <v>0</v>
      </c>
      <c r="K140" s="272">
        <f t="shared" si="21"/>
        <v>0</v>
      </c>
      <c r="L140" s="271"/>
      <c r="M140" s="272">
        <f t="shared" si="22"/>
        <v>19226.7</v>
      </c>
    </row>
    <row r="141" spans="1:13" ht="78.75">
      <c r="A141" s="210"/>
      <c r="B141" s="39" t="s">
        <v>265</v>
      </c>
      <c r="C141" s="271">
        <f>1253.3-603.3</f>
        <v>650</v>
      </c>
      <c r="D141" s="271">
        <v>0</v>
      </c>
      <c r="E141" s="271">
        <v>0</v>
      </c>
      <c r="F141" s="271">
        <v>0</v>
      </c>
      <c r="G141" s="271">
        <v>0</v>
      </c>
      <c r="H141" s="271">
        <v>0</v>
      </c>
      <c r="I141" s="271">
        <v>0</v>
      </c>
      <c r="J141" s="271">
        <v>0</v>
      </c>
      <c r="K141" s="272">
        <f t="shared" si="21"/>
        <v>0</v>
      </c>
      <c r="L141" s="271"/>
      <c r="M141" s="272">
        <f t="shared" si="22"/>
        <v>650</v>
      </c>
    </row>
    <row r="142" spans="1:13" ht="63" hidden="1">
      <c r="A142" s="210"/>
      <c r="B142" s="39" t="s">
        <v>134</v>
      </c>
      <c r="C142" s="271">
        <f>0</f>
        <v>0</v>
      </c>
      <c r="D142" s="271">
        <f>0</f>
        <v>0</v>
      </c>
      <c r="E142" s="271">
        <v>0</v>
      </c>
      <c r="F142" s="271">
        <f>0</f>
        <v>0</v>
      </c>
      <c r="G142" s="271">
        <f>0</f>
        <v>0</v>
      </c>
      <c r="H142" s="271">
        <f>0</f>
        <v>0</v>
      </c>
      <c r="I142" s="271">
        <f>0</f>
        <v>0</v>
      </c>
      <c r="J142" s="271">
        <f>0</f>
        <v>0</v>
      </c>
      <c r="K142" s="272">
        <f t="shared" si="21"/>
        <v>0</v>
      </c>
      <c r="L142" s="271">
        <f>0</f>
        <v>0</v>
      </c>
      <c r="M142" s="272">
        <f t="shared" si="22"/>
        <v>0</v>
      </c>
    </row>
    <row r="143" spans="1:13" s="246" customFormat="1" ht="15.75">
      <c r="A143" s="206" t="s">
        <v>135</v>
      </c>
      <c r="B143" s="207" t="s">
        <v>315</v>
      </c>
      <c r="C143" s="267">
        <f>C144+C150</f>
        <v>86337.59999999999</v>
      </c>
      <c r="D143" s="267">
        <f aca="true" t="shared" si="23" ref="D143:J143">D144+D150</f>
        <v>0</v>
      </c>
      <c r="E143" s="267">
        <f t="shared" si="23"/>
        <v>0</v>
      </c>
      <c r="F143" s="267">
        <f t="shared" si="23"/>
        <v>0</v>
      </c>
      <c r="G143" s="267">
        <f t="shared" si="23"/>
        <v>0</v>
      </c>
      <c r="H143" s="267">
        <f t="shared" si="23"/>
        <v>0</v>
      </c>
      <c r="I143" s="267">
        <f t="shared" si="23"/>
        <v>0</v>
      </c>
      <c r="J143" s="267">
        <f t="shared" si="23"/>
        <v>0</v>
      </c>
      <c r="K143" s="268">
        <f t="shared" si="21"/>
        <v>0</v>
      </c>
      <c r="L143" s="267">
        <f>L144+L150</f>
        <v>0</v>
      </c>
      <c r="M143" s="268">
        <f t="shared" si="22"/>
        <v>86337.59999999999</v>
      </c>
    </row>
    <row r="144" spans="1:13" s="246" customFormat="1" ht="15.75">
      <c r="A144" s="204" t="s">
        <v>136</v>
      </c>
      <c r="B144" s="212" t="s">
        <v>266</v>
      </c>
      <c r="C144" s="270">
        <f>C146</f>
        <v>73795.4</v>
      </c>
      <c r="D144" s="270">
        <f aca="true" t="shared" si="24" ref="D144:J144">D146</f>
        <v>0</v>
      </c>
      <c r="E144" s="270">
        <f t="shared" si="24"/>
        <v>0</v>
      </c>
      <c r="F144" s="270">
        <f t="shared" si="24"/>
        <v>0</v>
      </c>
      <c r="G144" s="270">
        <f t="shared" si="24"/>
        <v>0</v>
      </c>
      <c r="H144" s="270">
        <f t="shared" si="24"/>
        <v>0</v>
      </c>
      <c r="I144" s="270">
        <f t="shared" si="24"/>
        <v>0</v>
      </c>
      <c r="J144" s="270">
        <f t="shared" si="24"/>
        <v>0</v>
      </c>
      <c r="K144" s="268">
        <f t="shared" si="21"/>
        <v>0</v>
      </c>
      <c r="L144" s="270">
        <f>L146</f>
        <v>0</v>
      </c>
      <c r="M144" s="268">
        <f t="shared" si="22"/>
        <v>73795.4</v>
      </c>
    </row>
    <row r="145" spans="1:13" ht="15.75" hidden="1">
      <c r="A145" s="210"/>
      <c r="B145" s="39" t="s">
        <v>84</v>
      </c>
      <c r="C145" s="271"/>
      <c r="D145" s="271"/>
      <c r="E145" s="271"/>
      <c r="F145" s="271"/>
      <c r="G145" s="271"/>
      <c r="H145" s="271"/>
      <c r="I145" s="271"/>
      <c r="J145" s="271"/>
      <c r="K145" s="272">
        <f t="shared" si="21"/>
        <v>0</v>
      </c>
      <c r="L145" s="271"/>
      <c r="M145" s="272">
        <f t="shared" si="22"/>
        <v>0</v>
      </c>
    </row>
    <row r="146" spans="1:13" ht="31.5">
      <c r="A146" s="210"/>
      <c r="B146" s="41" t="s">
        <v>316</v>
      </c>
      <c r="C146" s="271">
        <v>73795.4</v>
      </c>
      <c r="D146" s="271">
        <v>0</v>
      </c>
      <c r="E146" s="271">
        <v>0</v>
      </c>
      <c r="F146" s="271">
        <v>0</v>
      </c>
      <c r="G146" s="271">
        <v>0</v>
      </c>
      <c r="H146" s="271">
        <v>0</v>
      </c>
      <c r="I146" s="271">
        <v>0</v>
      </c>
      <c r="J146" s="271">
        <v>0</v>
      </c>
      <c r="K146" s="272">
        <f t="shared" si="21"/>
        <v>0</v>
      </c>
      <c r="L146" s="271"/>
      <c r="M146" s="272">
        <f t="shared" si="22"/>
        <v>73795.4</v>
      </c>
    </row>
    <row r="147" spans="1:13" ht="31.5" hidden="1">
      <c r="A147" s="210"/>
      <c r="B147" s="39" t="s">
        <v>188</v>
      </c>
      <c r="C147" s="271"/>
      <c r="D147" s="271"/>
      <c r="E147" s="271"/>
      <c r="F147" s="271"/>
      <c r="G147" s="271"/>
      <c r="H147" s="271"/>
      <c r="I147" s="271"/>
      <c r="J147" s="271"/>
      <c r="K147" s="272">
        <f t="shared" si="21"/>
        <v>0</v>
      </c>
      <c r="L147" s="271"/>
      <c r="M147" s="272">
        <f t="shared" si="22"/>
        <v>0</v>
      </c>
    </row>
    <row r="148" spans="1:13" ht="15.75" hidden="1">
      <c r="A148" s="210"/>
      <c r="B148" s="41"/>
      <c r="C148" s="271">
        <v>0</v>
      </c>
      <c r="D148" s="271">
        <v>0</v>
      </c>
      <c r="E148" s="271">
        <v>0</v>
      </c>
      <c r="F148" s="271">
        <v>0</v>
      </c>
      <c r="G148" s="271">
        <v>0</v>
      </c>
      <c r="H148" s="271">
        <v>0</v>
      </c>
      <c r="I148" s="271">
        <v>0</v>
      </c>
      <c r="J148" s="271">
        <v>0</v>
      </c>
      <c r="K148" s="272">
        <f t="shared" si="21"/>
        <v>0</v>
      </c>
      <c r="L148" s="271">
        <v>0</v>
      </c>
      <c r="M148" s="272">
        <f t="shared" si="22"/>
        <v>0</v>
      </c>
    </row>
    <row r="149" spans="1:13" ht="15.75" hidden="1">
      <c r="A149" s="210"/>
      <c r="B149" s="41" t="s">
        <v>137</v>
      </c>
      <c r="C149" s="271"/>
      <c r="D149" s="271"/>
      <c r="E149" s="271"/>
      <c r="F149" s="271"/>
      <c r="G149" s="271"/>
      <c r="H149" s="271"/>
      <c r="I149" s="271"/>
      <c r="J149" s="271"/>
      <c r="K149" s="272">
        <f t="shared" si="21"/>
        <v>0</v>
      </c>
      <c r="L149" s="271"/>
      <c r="M149" s="272">
        <f t="shared" si="22"/>
        <v>0</v>
      </c>
    </row>
    <row r="150" spans="1:13" s="246" customFormat="1" ht="31.5">
      <c r="A150" s="204" t="s">
        <v>138</v>
      </c>
      <c r="B150" s="212" t="s">
        <v>317</v>
      </c>
      <c r="C150" s="270">
        <f>C152+C153+C154</f>
        <v>12542.2</v>
      </c>
      <c r="D150" s="270">
        <f aca="true" t="shared" si="25" ref="D150:J150">D152+D153+D154</f>
        <v>0</v>
      </c>
      <c r="E150" s="270">
        <f t="shared" si="25"/>
        <v>0</v>
      </c>
      <c r="F150" s="270">
        <f t="shared" si="25"/>
        <v>0</v>
      </c>
      <c r="G150" s="270">
        <f t="shared" si="25"/>
        <v>0</v>
      </c>
      <c r="H150" s="270">
        <f t="shared" si="25"/>
        <v>0</v>
      </c>
      <c r="I150" s="270">
        <f t="shared" si="25"/>
        <v>0</v>
      </c>
      <c r="J150" s="270">
        <f t="shared" si="25"/>
        <v>0</v>
      </c>
      <c r="K150" s="268">
        <f t="shared" si="21"/>
        <v>0</v>
      </c>
      <c r="L150" s="270">
        <f>L152+L153+L154</f>
        <v>0</v>
      </c>
      <c r="M150" s="268">
        <f t="shared" si="22"/>
        <v>12542.2</v>
      </c>
    </row>
    <row r="151" spans="1:13" ht="15.75" hidden="1">
      <c r="A151" s="210"/>
      <c r="B151" s="39" t="s">
        <v>122</v>
      </c>
      <c r="C151" s="271"/>
      <c r="D151" s="271"/>
      <c r="E151" s="271"/>
      <c r="F151" s="271"/>
      <c r="G151" s="271"/>
      <c r="H151" s="271"/>
      <c r="I151" s="271"/>
      <c r="J151" s="271"/>
      <c r="K151" s="272">
        <f t="shared" si="21"/>
        <v>0</v>
      </c>
      <c r="L151" s="271"/>
      <c r="M151" s="272">
        <f t="shared" si="22"/>
        <v>0</v>
      </c>
    </row>
    <row r="152" spans="1:13" ht="15.75">
      <c r="A152" s="210"/>
      <c r="B152" s="39" t="s">
        <v>139</v>
      </c>
      <c r="C152" s="271">
        <v>936.2</v>
      </c>
      <c r="D152" s="271">
        <v>0</v>
      </c>
      <c r="E152" s="271">
        <v>0</v>
      </c>
      <c r="F152" s="271">
        <v>0</v>
      </c>
      <c r="G152" s="271">
        <v>0</v>
      </c>
      <c r="H152" s="271">
        <v>0</v>
      </c>
      <c r="I152" s="271">
        <v>0</v>
      </c>
      <c r="J152" s="271">
        <v>0</v>
      </c>
      <c r="K152" s="272">
        <f t="shared" si="21"/>
        <v>0</v>
      </c>
      <c r="L152" s="271"/>
      <c r="M152" s="272">
        <f t="shared" si="22"/>
        <v>936.2</v>
      </c>
    </row>
    <row r="153" spans="1:13" ht="47.25">
      <c r="A153" s="210"/>
      <c r="B153" s="39" t="s">
        <v>133</v>
      </c>
      <c r="C153" s="271">
        <v>11486</v>
      </c>
      <c r="D153" s="271">
        <v>0</v>
      </c>
      <c r="E153" s="271">
        <v>0</v>
      </c>
      <c r="F153" s="271">
        <v>0</v>
      </c>
      <c r="G153" s="271">
        <v>0</v>
      </c>
      <c r="H153" s="271">
        <v>0</v>
      </c>
      <c r="I153" s="271">
        <v>0</v>
      </c>
      <c r="J153" s="271">
        <v>0</v>
      </c>
      <c r="K153" s="272">
        <f t="shared" si="21"/>
        <v>0</v>
      </c>
      <c r="L153" s="271"/>
      <c r="M153" s="272">
        <f t="shared" si="22"/>
        <v>11486</v>
      </c>
    </row>
    <row r="154" spans="1:13" ht="94.5">
      <c r="A154" s="210"/>
      <c r="B154" s="39" t="s">
        <v>318</v>
      </c>
      <c r="C154" s="271">
        <v>120</v>
      </c>
      <c r="D154" s="271">
        <v>0</v>
      </c>
      <c r="E154" s="271">
        <v>0</v>
      </c>
      <c r="F154" s="271">
        <v>0</v>
      </c>
      <c r="G154" s="271">
        <v>0</v>
      </c>
      <c r="H154" s="271">
        <v>0</v>
      </c>
      <c r="I154" s="271">
        <v>0</v>
      </c>
      <c r="J154" s="271">
        <v>0</v>
      </c>
      <c r="K154" s="272">
        <f t="shared" si="21"/>
        <v>0</v>
      </c>
      <c r="L154" s="271"/>
      <c r="M154" s="272">
        <f t="shared" si="22"/>
        <v>120</v>
      </c>
    </row>
    <row r="155" spans="1:13" ht="15.75" hidden="1">
      <c r="A155" s="210" t="s">
        <v>140</v>
      </c>
      <c r="B155" s="39" t="s">
        <v>141</v>
      </c>
      <c r="C155" s="271">
        <v>0</v>
      </c>
      <c r="D155" s="271">
        <v>0</v>
      </c>
      <c r="E155" s="271">
        <v>0</v>
      </c>
      <c r="F155" s="271">
        <v>0</v>
      </c>
      <c r="G155" s="271">
        <v>0</v>
      </c>
      <c r="H155" s="271">
        <v>0</v>
      </c>
      <c r="I155" s="271">
        <v>0</v>
      </c>
      <c r="J155" s="271">
        <v>0</v>
      </c>
      <c r="K155" s="272">
        <f t="shared" si="21"/>
        <v>0</v>
      </c>
      <c r="L155" s="271">
        <v>0</v>
      </c>
      <c r="M155" s="272">
        <f t="shared" si="22"/>
        <v>0</v>
      </c>
    </row>
    <row r="156" spans="1:13" ht="15.75" hidden="1">
      <c r="A156" s="210" t="s">
        <v>142</v>
      </c>
      <c r="B156" s="39" t="s">
        <v>143</v>
      </c>
      <c r="C156" s="271"/>
      <c r="D156" s="271"/>
      <c r="E156" s="271"/>
      <c r="F156" s="271"/>
      <c r="G156" s="271"/>
      <c r="H156" s="271"/>
      <c r="I156" s="271"/>
      <c r="J156" s="271"/>
      <c r="K156" s="272">
        <f t="shared" si="21"/>
        <v>0</v>
      </c>
      <c r="L156" s="271"/>
      <c r="M156" s="272">
        <f t="shared" si="22"/>
        <v>0</v>
      </c>
    </row>
    <row r="157" spans="1:13" ht="47.25" hidden="1">
      <c r="A157" s="210" t="s">
        <v>144</v>
      </c>
      <c r="B157" s="39" t="s">
        <v>145</v>
      </c>
      <c r="C157" s="271"/>
      <c r="D157" s="271"/>
      <c r="E157" s="271"/>
      <c r="F157" s="271"/>
      <c r="G157" s="271"/>
      <c r="H157" s="271"/>
      <c r="I157" s="271"/>
      <c r="J157" s="271"/>
      <c r="K157" s="272">
        <f t="shared" si="21"/>
        <v>0</v>
      </c>
      <c r="L157" s="271"/>
      <c r="M157" s="272">
        <f t="shared" si="22"/>
        <v>0</v>
      </c>
    </row>
    <row r="158" spans="1:13" ht="47.25" hidden="1">
      <c r="A158" s="210" t="s">
        <v>146</v>
      </c>
      <c r="B158" s="39" t="s">
        <v>147</v>
      </c>
      <c r="C158" s="271"/>
      <c r="D158" s="271"/>
      <c r="E158" s="271"/>
      <c r="F158" s="271"/>
      <c r="G158" s="271"/>
      <c r="H158" s="271"/>
      <c r="I158" s="271"/>
      <c r="J158" s="271"/>
      <c r="K158" s="272">
        <f t="shared" si="21"/>
        <v>0</v>
      </c>
      <c r="L158" s="271"/>
      <c r="M158" s="272">
        <f t="shared" si="22"/>
        <v>0</v>
      </c>
    </row>
    <row r="159" spans="1:13" ht="63" hidden="1">
      <c r="A159" s="210" t="s">
        <v>148</v>
      </c>
      <c r="B159" s="39" t="s">
        <v>149</v>
      </c>
      <c r="C159" s="271" t="s">
        <v>150</v>
      </c>
      <c r="D159" s="271" t="s">
        <v>150</v>
      </c>
      <c r="E159" s="271" t="s">
        <v>150</v>
      </c>
      <c r="F159" s="271" t="s">
        <v>150</v>
      </c>
      <c r="G159" s="271" t="s">
        <v>150</v>
      </c>
      <c r="H159" s="271" t="s">
        <v>150</v>
      </c>
      <c r="I159" s="271" t="s">
        <v>150</v>
      </c>
      <c r="J159" s="271" t="s">
        <v>150</v>
      </c>
      <c r="K159" s="272">
        <f t="shared" si="21"/>
        <v>0</v>
      </c>
      <c r="L159" s="271" t="s">
        <v>150</v>
      </c>
      <c r="M159" s="272" t="e">
        <f t="shared" si="22"/>
        <v>#VALUE!</v>
      </c>
    </row>
    <row r="160" spans="1:13" ht="15.75" hidden="1">
      <c r="A160" s="210"/>
      <c r="B160" s="39" t="s">
        <v>122</v>
      </c>
      <c r="C160" s="271"/>
      <c r="D160" s="271"/>
      <c r="E160" s="271"/>
      <c r="F160" s="271"/>
      <c r="G160" s="271"/>
      <c r="H160" s="271"/>
      <c r="I160" s="271"/>
      <c r="J160" s="271"/>
      <c r="K160" s="272">
        <f t="shared" si="21"/>
        <v>0</v>
      </c>
      <c r="L160" s="271"/>
      <c r="M160" s="272">
        <f t="shared" si="22"/>
        <v>0</v>
      </c>
    </row>
    <row r="161" spans="1:13" ht="15.75" hidden="1">
      <c r="A161" s="210"/>
      <c r="B161" s="39" t="s">
        <v>132</v>
      </c>
      <c r="C161" s="271"/>
      <c r="D161" s="271"/>
      <c r="E161" s="271"/>
      <c r="F161" s="271"/>
      <c r="G161" s="271"/>
      <c r="H161" s="271"/>
      <c r="I161" s="271"/>
      <c r="J161" s="271"/>
      <c r="K161" s="272">
        <f t="shared" si="21"/>
        <v>0</v>
      </c>
      <c r="L161" s="271"/>
      <c r="M161" s="272">
        <f t="shared" si="22"/>
        <v>0</v>
      </c>
    </row>
    <row r="162" spans="1:13" ht="15.75" hidden="1">
      <c r="A162" s="210"/>
      <c r="B162" s="39" t="s">
        <v>91</v>
      </c>
      <c r="C162" s="271"/>
      <c r="D162" s="271"/>
      <c r="E162" s="271"/>
      <c r="F162" s="271"/>
      <c r="G162" s="271"/>
      <c r="H162" s="271"/>
      <c r="I162" s="271"/>
      <c r="J162" s="271"/>
      <c r="K162" s="272">
        <f t="shared" si="21"/>
        <v>0</v>
      </c>
      <c r="L162" s="271"/>
      <c r="M162" s="272">
        <f t="shared" si="22"/>
        <v>0</v>
      </c>
    </row>
    <row r="163" spans="1:13" s="246" customFormat="1" ht="15.75">
      <c r="A163" s="206" t="s">
        <v>151</v>
      </c>
      <c r="B163" s="207" t="s">
        <v>152</v>
      </c>
      <c r="C163" s="267">
        <f>C164+C165+C171</f>
        <v>22869.3</v>
      </c>
      <c r="D163" s="267">
        <f aca="true" t="shared" si="26" ref="D163:J163">D164+D165+D171</f>
        <v>405</v>
      </c>
      <c r="E163" s="267">
        <f t="shared" si="26"/>
        <v>36</v>
      </c>
      <c r="F163" s="267">
        <f t="shared" si="26"/>
        <v>0</v>
      </c>
      <c r="G163" s="267">
        <f t="shared" si="26"/>
        <v>18</v>
      </c>
      <c r="H163" s="267">
        <f t="shared" si="26"/>
        <v>66</v>
      </c>
      <c r="I163" s="267">
        <f t="shared" si="26"/>
        <v>0</v>
      </c>
      <c r="J163" s="267">
        <f t="shared" si="26"/>
        <v>110.4</v>
      </c>
      <c r="K163" s="268">
        <f t="shared" si="21"/>
        <v>635.4</v>
      </c>
      <c r="L163" s="267">
        <f>L164+L165+L171</f>
        <v>0</v>
      </c>
      <c r="M163" s="268">
        <f t="shared" si="22"/>
        <v>23504.7</v>
      </c>
    </row>
    <row r="164" spans="1:13" s="246" customFormat="1" ht="31.5">
      <c r="A164" s="204" t="s">
        <v>153</v>
      </c>
      <c r="B164" s="212" t="s">
        <v>267</v>
      </c>
      <c r="C164" s="270">
        <v>1386</v>
      </c>
      <c r="D164" s="270">
        <v>353.7</v>
      </c>
      <c r="E164" s="270">
        <v>36</v>
      </c>
      <c r="F164" s="270">
        <v>0</v>
      </c>
      <c r="G164" s="270">
        <v>18</v>
      </c>
      <c r="H164" s="270">
        <v>66</v>
      </c>
      <c r="I164" s="270">
        <v>0</v>
      </c>
      <c r="J164" s="270">
        <v>110.4</v>
      </c>
      <c r="K164" s="268">
        <f t="shared" si="21"/>
        <v>584.1</v>
      </c>
      <c r="L164" s="270"/>
      <c r="M164" s="268">
        <f t="shared" si="22"/>
        <v>1970.1</v>
      </c>
    </row>
    <row r="165" spans="1:13" s="246" customFormat="1" ht="31.5">
      <c r="A165" s="204" t="s">
        <v>154</v>
      </c>
      <c r="B165" s="212" t="s">
        <v>319</v>
      </c>
      <c r="C165" s="270">
        <f>C166+C167+C168+C169+C170</f>
        <v>16056.3</v>
      </c>
      <c r="D165" s="270">
        <f aca="true" t="shared" si="27" ref="D165:J165">D166+D167+D168+D169+D170</f>
        <v>51.3</v>
      </c>
      <c r="E165" s="270">
        <f t="shared" si="27"/>
        <v>0</v>
      </c>
      <c r="F165" s="270">
        <f t="shared" si="27"/>
        <v>0</v>
      </c>
      <c r="G165" s="270">
        <f t="shared" si="27"/>
        <v>0</v>
      </c>
      <c r="H165" s="270">
        <f t="shared" si="27"/>
        <v>0</v>
      </c>
      <c r="I165" s="270">
        <f t="shared" si="27"/>
        <v>0</v>
      </c>
      <c r="J165" s="270">
        <f t="shared" si="27"/>
        <v>0</v>
      </c>
      <c r="K165" s="268">
        <f t="shared" si="21"/>
        <v>51.3</v>
      </c>
      <c r="L165" s="270">
        <f>L166+L167+L168+L169+L170</f>
        <v>0</v>
      </c>
      <c r="M165" s="268">
        <f t="shared" si="22"/>
        <v>16107.599999999999</v>
      </c>
    </row>
    <row r="166" spans="1:13" ht="31.5">
      <c r="A166" s="210"/>
      <c r="B166" s="39" t="s">
        <v>320</v>
      </c>
      <c r="C166" s="271">
        <v>15837.3</v>
      </c>
      <c r="D166" s="271">
        <v>0</v>
      </c>
      <c r="E166" s="271">
        <v>0</v>
      </c>
      <c r="F166" s="271">
        <v>0</v>
      </c>
      <c r="G166" s="271">
        <v>0</v>
      </c>
      <c r="H166" s="271">
        <v>0</v>
      </c>
      <c r="I166" s="271">
        <v>0</v>
      </c>
      <c r="J166" s="271">
        <v>0</v>
      </c>
      <c r="K166" s="272">
        <f t="shared" si="21"/>
        <v>0</v>
      </c>
      <c r="L166" s="271"/>
      <c r="M166" s="272">
        <f t="shared" si="22"/>
        <v>15837.3</v>
      </c>
    </row>
    <row r="167" spans="1:13" ht="110.25">
      <c r="A167" s="210"/>
      <c r="B167" s="39" t="s">
        <v>321</v>
      </c>
      <c r="C167" s="271">
        <v>105</v>
      </c>
      <c r="D167" s="271">
        <v>0</v>
      </c>
      <c r="E167" s="271">
        <v>0</v>
      </c>
      <c r="F167" s="271">
        <v>0</v>
      </c>
      <c r="G167" s="271">
        <v>0</v>
      </c>
      <c r="H167" s="271">
        <v>0</v>
      </c>
      <c r="I167" s="271">
        <v>0</v>
      </c>
      <c r="J167" s="271">
        <v>0</v>
      </c>
      <c r="K167" s="272">
        <f t="shared" si="21"/>
        <v>0</v>
      </c>
      <c r="L167" s="271"/>
      <c r="M167" s="272">
        <f t="shared" si="22"/>
        <v>105</v>
      </c>
    </row>
    <row r="168" spans="1:13" ht="27.75" customHeight="1">
      <c r="A168" s="210"/>
      <c r="B168" s="223" t="s">
        <v>322</v>
      </c>
      <c r="C168" s="271">
        <v>104</v>
      </c>
      <c r="D168" s="271">
        <v>51.3</v>
      </c>
      <c r="E168" s="271">
        <v>0</v>
      </c>
      <c r="F168" s="271">
        <v>0</v>
      </c>
      <c r="G168" s="271">
        <v>0</v>
      </c>
      <c r="H168" s="271">
        <v>0</v>
      </c>
      <c r="I168" s="271">
        <v>0</v>
      </c>
      <c r="J168" s="271">
        <v>0</v>
      </c>
      <c r="K168" s="272">
        <f t="shared" si="21"/>
        <v>51.3</v>
      </c>
      <c r="L168" s="271"/>
      <c r="M168" s="272">
        <f t="shared" si="22"/>
        <v>155.3</v>
      </c>
    </row>
    <row r="169" spans="1:13" ht="15.75" hidden="1">
      <c r="A169" s="210"/>
      <c r="B169" s="39" t="s">
        <v>155</v>
      </c>
      <c r="C169" s="271">
        <v>0</v>
      </c>
      <c r="D169" s="271">
        <v>0</v>
      </c>
      <c r="E169" s="271">
        <v>0</v>
      </c>
      <c r="F169" s="271">
        <v>0</v>
      </c>
      <c r="G169" s="271">
        <v>0</v>
      </c>
      <c r="H169" s="271">
        <v>0</v>
      </c>
      <c r="I169" s="271">
        <v>0</v>
      </c>
      <c r="J169" s="271">
        <v>0</v>
      </c>
      <c r="K169" s="272">
        <f t="shared" si="21"/>
        <v>0</v>
      </c>
      <c r="L169" s="271"/>
      <c r="M169" s="272">
        <f t="shared" si="22"/>
        <v>0</v>
      </c>
    </row>
    <row r="170" spans="1:13" ht="99" customHeight="1">
      <c r="A170" s="210"/>
      <c r="B170" s="39" t="s">
        <v>268</v>
      </c>
      <c r="C170" s="271">
        <v>10</v>
      </c>
      <c r="D170" s="271">
        <v>0</v>
      </c>
      <c r="E170" s="271">
        <v>0</v>
      </c>
      <c r="F170" s="271">
        <v>0</v>
      </c>
      <c r="G170" s="271">
        <v>0</v>
      </c>
      <c r="H170" s="271">
        <v>0</v>
      </c>
      <c r="I170" s="271">
        <v>0</v>
      </c>
      <c r="J170" s="271">
        <v>0</v>
      </c>
      <c r="K170" s="272">
        <f t="shared" si="21"/>
        <v>0</v>
      </c>
      <c r="L170" s="271"/>
      <c r="M170" s="272">
        <f t="shared" si="22"/>
        <v>10</v>
      </c>
    </row>
    <row r="171" spans="1:13" s="246" customFormat="1" ht="15.75">
      <c r="A171" s="204" t="s">
        <v>156</v>
      </c>
      <c r="B171" s="212" t="s">
        <v>11</v>
      </c>
      <c r="C171" s="270">
        <v>5427</v>
      </c>
      <c r="D171" s="270">
        <v>0</v>
      </c>
      <c r="E171" s="270">
        <v>0</v>
      </c>
      <c r="F171" s="270">
        <v>0</v>
      </c>
      <c r="G171" s="270">
        <v>0</v>
      </c>
      <c r="H171" s="270">
        <v>0</v>
      </c>
      <c r="I171" s="270">
        <v>0</v>
      </c>
      <c r="J171" s="270">
        <v>0</v>
      </c>
      <c r="K171" s="268">
        <f t="shared" si="21"/>
        <v>0</v>
      </c>
      <c r="L171" s="270"/>
      <c r="M171" s="268">
        <f t="shared" si="22"/>
        <v>5427</v>
      </c>
    </row>
    <row r="172" spans="1:13" s="246" customFormat="1" ht="31.5">
      <c r="A172" s="206" t="s">
        <v>157</v>
      </c>
      <c r="B172" s="207" t="s">
        <v>158</v>
      </c>
      <c r="C172" s="267">
        <f>C173+C177</f>
        <v>701.5</v>
      </c>
      <c r="D172" s="267">
        <f aca="true" t="shared" si="28" ref="D172:J172">D173+D177</f>
        <v>36285.2</v>
      </c>
      <c r="E172" s="267">
        <f t="shared" si="28"/>
        <v>0</v>
      </c>
      <c r="F172" s="267">
        <f t="shared" si="28"/>
        <v>0</v>
      </c>
      <c r="G172" s="267">
        <f t="shared" si="28"/>
        <v>0</v>
      </c>
      <c r="H172" s="267">
        <f t="shared" si="28"/>
        <v>0</v>
      </c>
      <c r="I172" s="267">
        <f t="shared" si="28"/>
        <v>0</v>
      </c>
      <c r="J172" s="267">
        <f t="shared" si="28"/>
        <v>0</v>
      </c>
      <c r="K172" s="268">
        <f t="shared" si="21"/>
        <v>36285.2</v>
      </c>
      <c r="L172" s="267">
        <f>L173+L177</f>
        <v>0</v>
      </c>
      <c r="M172" s="268">
        <f t="shared" si="22"/>
        <v>36986.7</v>
      </c>
    </row>
    <row r="173" spans="1:13" s="246" customFormat="1" ht="78.75">
      <c r="A173" s="204" t="s">
        <v>159</v>
      </c>
      <c r="B173" s="212" t="s">
        <v>347</v>
      </c>
      <c r="C173" s="270">
        <f>C174+C175+C176</f>
        <v>0</v>
      </c>
      <c r="D173" s="270">
        <f>D174+D175+D176</f>
        <v>36285.2</v>
      </c>
      <c r="E173" s="270">
        <f aca="true" t="shared" si="29" ref="E173:J173">E174+E175+E176</f>
        <v>0</v>
      </c>
      <c r="F173" s="270">
        <f t="shared" si="29"/>
        <v>0</v>
      </c>
      <c r="G173" s="270">
        <v>0</v>
      </c>
      <c r="H173" s="270">
        <f t="shared" si="29"/>
        <v>0</v>
      </c>
      <c r="I173" s="270">
        <f t="shared" si="29"/>
        <v>0</v>
      </c>
      <c r="J173" s="270">
        <f t="shared" si="29"/>
        <v>0</v>
      </c>
      <c r="K173" s="268">
        <f t="shared" si="21"/>
        <v>36285.2</v>
      </c>
      <c r="L173" s="270">
        <f>L174+L175+L176</f>
        <v>0</v>
      </c>
      <c r="M173" s="268">
        <f t="shared" si="22"/>
        <v>36285.2</v>
      </c>
    </row>
    <row r="174" spans="1:13" ht="52.5" customHeight="1">
      <c r="A174" s="210"/>
      <c r="B174" s="39" t="s">
        <v>346</v>
      </c>
      <c r="C174" s="271"/>
      <c r="D174" s="271">
        <v>36285.2</v>
      </c>
      <c r="E174" s="271"/>
      <c r="F174" s="271"/>
      <c r="G174" s="271"/>
      <c r="H174" s="271"/>
      <c r="I174" s="271"/>
      <c r="J174" s="271"/>
      <c r="K174" s="272">
        <f t="shared" si="21"/>
        <v>36285.2</v>
      </c>
      <c r="L174" s="271"/>
      <c r="M174" s="272">
        <f t="shared" si="22"/>
        <v>36285.2</v>
      </c>
    </row>
    <row r="175" spans="1:13" ht="15.75" hidden="1">
      <c r="A175" s="210"/>
      <c r="B175" s="39"/>
      <c r="C175" s="271"/>
      <c r="D175" s="271"/>
      <c r="E175" s="271"/>
      <c r="F175" s="271"/>
      <c r="G175" s="271"/>
      <c r="H175" s="271"/>
      <c r="I175" s="271"/>
      <c r="J175" s="271"/>
      <c r="K175" s="272">
        <f t="shared" si="21"/>
        <v>0</v>
      </c>
      <c r="L175" s="271"/>
      <c r="M175" s="272">
        <f t="shared" si="22"/>
        <v>0</v>
      </c>
    </row>
    <row r="176" spans="1:13" ht="110.25" hidden="1">
      <c r="A176" s="210"/>
      <c r="B176" s="39" t="s">
        <v>162</v>
      </c>
      <c r="C176" s="271">
        <v>0</v>
      </c>
      <c r="D176" s="271">
        <v>0</v>
      </c>
      <c r="E176" s="271">
        <v>0</v>
      </c>
      <c r="F176" s="271">
        <v>0</v>
      </c>
      <c r="G176" s="271">
        <v>0</v>
      </c>
      <c r="H176" s="271">
        <v>0</v>
      </c>
      <c r="I176" s="271">
        <v>0</v>
      </c>
      <c r="J176" s="271">
        <v>0</v>
      </c>
      <c r="K176" s="272">
        <f t="shared" si="21"/>
        <v>0</v>
      </c>
      <c r="L176" s="271">
        <v>0</v>
      </c>
      <c r="M176" s="272">
        <f t="shared" si="22"/>
        <v>0</v>
      </c>
    </row>
    <row r="177" spans="1:13" s="246" customFormat="1" ht="31.5">
      <c r="A177" s="204" t="s">
        <v>163</v>
      </c>
      <c r="B177" s="212" t="s">
        <v>164</v>
      </c>
      <c r="C177" s="270">
        <f>C178+C179</f>
        <v>701.5</v>
      </c>
      <c r="D177" s="270">
        <f aca="true" t="shared" si="30" ref="D177:J177">D178+D179</f>
        <v>0</v>
      </c>
      <c r="E177" s="270">
        <f t="shared" si="30"/>
        <v>0</v>
      </c>
      <c r="F177" s="270">
        <f t="shared" si="30"/>
        <v>0</v>
      </c>
      <c r="G177" s="270">
        <f t="shared" si="30"/>
        <v>0</v>
      </c>
      <c r="H177" s="270">
        <f t="shared" si="30"/>
        <v>0</v>
      </c>
      <c r="I177" s="270">
        <f t="shared" si="30"/>
        <v>0</v>
      </c>
      <c r="J177" s="270">
        <f t="shared" si="30"/>
        <v>0</v>
      </c>
      <c r="K177" s="268">
        <f t="shared" si="21"/>
        <v>0</v>
      </c>
      <c r="L177" s="270">
        <f>L178+L179</f>
        <v>0</v>
      </c>
      <c r="M177" s="268">
        <f t="shared" si="22"/>
        <v>701.5</v>
      </c>
    </row>
    <row r="178" spans="1:13" ht="15.75">
      <c r="A178" s="210"/>
      <c r="B178" s="39" t="s">
        <v>132</v>
      </c>
      <c r="C178" s="271">
        <v>701.5</v>
      </c>
      <c r="D178" s="271">
        <v>0</v>
      </c>
      <c r="E178" s="271">
        <v>0</v>
      </c>
      <c r="F178" s="271">
        <v>0</v>
      </c>
      <c r="G178" s="271">
        <v>0</v>
      </c>
      <c r="H178" s="271">
        <v>0</v>
      </c>
      <c r="I178" s="271">
        <v>0</v>
      </c>
      <c r="J178" s="271">
        <v>0</v>
      </c>
      <c r="K178" s="272">
        <f t="shared" si="21"/>
        <v>0</v>
      </c>
      <c r="L178" s="271"/>
      <c r="M178" s="272">
        <f t="shared" si="22"/>
        <v>701.5</v>
      </c>
    </row>
    <row r="179" spans="1:13" ht="15.75">
      <c r="A179" s="210"/>
      <c r="B179" s="39" t="s">
        <v>91</v>
      </c>
      <c r="C179" s="271">
        <v>0</v>
      </c>
      <c r="D179" s="271">
        <v>0</v>
      </c>
      <c r="E179" s="271">
        <v>0</v>
      </c>
      <c r="F179" s="271">
        <v>0</v>
      </c>
      <c r="G179" s="271">
        <v>0</v>
      </c>
      <c r="H179" s="271">
        <v>0</v>
      </c>
      <c r="I179" s="271">
        <v>0</v>
      </c>
      <c r="J179" s="271">
        <v>0</v>
      </c>
      <c r="K179" s="272">
        <f t="shared" si="21"/>
        <v>0</v>
      </c>
      <c r="L179" s="271">
        <v>0</v>
      </c>
      <c r="M179" s="272">
        <f t="shared" si="22"/>
        <v>0</v>
      </c>
    </row>
    <row r="180" spans="1:13" s="246" customFormat="1" ht="31.5">
      <c r="A180" s="206" t="s">
        <v>165</v>
      </c>
      <c r="B180" s="207" t="s">
        <v>166</v>
      </c>
      <c r="C180" s="267">
        <f>C181</f>
        <v>200</v>
      </c>
      <c r="D180" s="267">
        <f aca="true" t="shared" si="31" ref="D180:J180">D181</f>
        <v>90</v>
      </c>
      <c r="E180" s="267">
        <f t="shared" si="31"/>
        <v>0</v>
      </c>
      <c r="F180" s="267">
        <f t="shared" si="31"/>
        <v>0</v>
      </c>
      <c r="G180" s="267">
        <f t="shared" si="31"/>
        <v>0</v>
      </c>
      <c r="H180" s="267">
        <f t="shared" si="31"/>
        <v>0</v>
      </c>
      <c r="I180" s="267">
        <f t="shared" si="31"/>
        <v>0</v>
      </c>
      <c r="J180" s="267">
        <f t="shared" si="31"/>
        <v>0</v>
      </c>
      <c r="K180" s="268">
        <f t="shared" si="21"/>
        <v>90</v>
      </c>
      <c r="L180" s="267">
        <f>L181</f>
        <v>0</v>
      </c>
      <c r="M180" s="268">
        <f t="shared" si="22"/>
        <v>290</v>
      </c>
    </row>
    <row r="181" spans="1:13" s="246" customFormat="1" ht="15.75">
      <c r="A181" s="204" t="s">
        <v>167</v>
      </c>
      <c r="B181" s="212" t="s">
        <v>8</v>
      </c>
      <c r="C181" s="270">
        <v>200</v>
      </c>
      <c r="D181" s="270">
        <v>90</v>
      </c>
      <c r="E181" s="270">
        <v>0</v>
      </c>
      <c r="F181" s="270">
        <v>0</v>
      </c>
      <c r="G181" s="270">
        <v>0</v>
      </c>
      <c r="H181" s="270">
        <v>0</v>
      </c>
      <c r="I181" s="270">
        <v>0</v>
      </c>
      <c r="J181" s="270">
        <v>0</v>
      </c>
      <c r="K181" s="268">
        <f t="shared" si="21"/>
        <v>90</v>
      </c>
      <c r="L181" s="270"/>
      <c r="M181" s="268">
        <f t="shared" si="22"/>
        <v>290</v>
      </c>
    </row>
    <row r="182" spans="1:13" s="246" customFormat="1" ht="31.5">
      <c r="A182" s="206" t="s">
        <v>168</v>
      </c>
      <c r="B182" s="207" t="s">
        <v>169</v>
      </c>
      <c r="C182" s="267">
        <f>C183</f>
        <v>0</v>
      </c>
      <c r="D182" s="267">
        <f aca="true" t="shared" si="32" ref="D182:J182">D183</f>
        <v>0</v>
      </c>
      <c r="E182" s="267">
        <f t="shared" si="32"/>
        <v>0</v>
      </c>
      <c r="F182" s="267">
        <f t="shared" si="32"/>
        <v>0</v>
      </c>
      <c r="G182" s="267">
        <f t="shared" si="32"/>
        <v>0</v>
      </c>
      <c r="H182" s="267">
        <f t="shared" si="32"/>
        <v>0</v>
      </c>
      <c r="I182" s="267">
        <f t="shared" si="32"/>
        <v>0</v>
      </c>
      <c r="J182" s="267">
        <f t="shared" si="32"/>
        <v>0</v>
      </c>
      <c r="K182" s="268">
        <f t="shared" si="21"/>
        <v>0</v>
      </c>
      <c r="L182" s="267">
        <f>L183</f>
        <v>0</v>
      </c>
      <c r="M182" s="268">
        <f t="shared" si="22"/>
        <v>0</v>
      </c>
    </row>
    <row r="183" spans="1:13" s="246" customFormat="1" ht="15.75">
      <c r="A183" s="204" t="s">
        <v>170</v>
      </c>
      <c r="B183" s="212" t="s">
        <v>7</v>
      </c>
      <c r="C183" s="270">
        <v>0</v>
      </c>
      <c r="D183" s="270">
        <v>0</v>
      </c>
      <c r="E183" s="270">
        <v>0</v>
      </c>
      <c r="F183" s="270">
        <v>0</v>
      </c>
      <c r="G183" s="270">
        <v>0</v>
      </c>
      <c r="H183" s="270">
        <v>0</v>
      </c>
      <c r="I183" s="270">
        <v>0</v>
      </c>
      <c r="J183" s="270">
        <v>0</v>
      </c>
      <c r="K183" s="268">
        <f t="shared" si="21"/>
        <v>0</v>
      </c>
      <c r="L183" s="270"/>
      <c r="M183" s="268">
        <f t="shared" si="22"/>
        <v>0</v>
      </c>
    </row>
    <row r="184" spans="1:13" s="246" customFormat="1" ht="94.5">
      <c r="A184" s="206" t="s">
        <v>171</v>
      </c>
      <c r="B184" s="207" t="s">
        <v>269</v>
      </c>
      <c r="C184" s="267">
        <f>C186+C187+C188</f>
        <v>2754.1</v>
      </c>
      <c r="D184" s="267">
        <f aca="true" t="shared" si="33" ref="D184:J184">D186+D187+D188</f>
        <v>0</v>
      </c>
      <c r="E184" s="267">
        <f t="shared" si="33"/>
        <v>0</v>
      </c>
      <c r="F184" s="267">
        <f t="shared" si="33"/>
        <v>0</v>
      </c>
      <c r="G184" s="267">
        <f t="shared" si="33"/>
        <v>0</v>
      </c>
      <c r="H184" s="267">
        <f t="shared" si="33"/>
        <v>0</v>
      </c>
      <c r="I184" s="267">
        <f t="shared" si="33"/>
        <v>0</v>
      </c>
      <c r="J184" s="267">
        <f t="shared" si="33"/>
        <v>0</v>
      </c>
      <c r="K184" s="268">
        <f t="shared" si="21"/>
        <v>0</v>
      </c>
      <c r="L184" s="267">
        <f>L186+L187+L188</f>
        <v>2754.1</v>
      </c>
      <c r="M184" s="268">
        <f t="shared" si="22"/>
        <v>0</v>
      </c>
    </row>
    <row r="185" spans="1:13" s="246" customFormat="1" ht="47.25">
      <c r="A185" s="204" t="s">
        <v>172</v>
      </c>
      <c r="B185" s="212" t="s">
        <v>173</v>
      </c>
      <c r="C185" s="270">
        <f>C186+C187</f>
        <v>2754.1</v>
      </c>
      <c r="D185" s="270">
        <f aca="true" t="shared" si="34" ref="D185:J185">D186+D187</f>
        <v>0</v>
      </c>
      <c r="E185" s="270">
        <f t="shared" si="34"/>
        <v>0</v>
      </c>
      <c r="F185" s="270">
        <f t="shared" si="34"/>
        <v>0</v>
      </c>
      <c r="G185" s="270">
        <f t="shared" si="34"/>
        <v>0</v>
      </c>
      <c r="H185" s="270">
        <f t="shared" si="34"/>
        <v>0</v>
      </c>
      <c r="I185" s="270">
        <f t="shared" si="34"/>
        <v>0</v>
      </c>
      <c r="J185" s="270">
        <f t="shared" si="34"/>
        <v>0</v>
      </c>
      <c r="K185" s="268">
        <f t="shared" si="21"/>
        <v>0</v>
      </c>
      <c r="L185" s="270">
        <f>L186+L187</f>
        <v>2754.1</v>
      </c>
      <c r="M185" s="268">
        <f t="shared" si="22"/>
        <v>0</v>
      </c>
    </row>
    <row r="186" spans="1:13" ht="63" hidden="1">
      <c r="A186" s="210"/>
      <c r="B186" s="39" t="s">
        <v>174</v>
      </c>
      <c r="C186" s="271">
        <f>0</f>
        <v>0</v>
      </c>
      <c r="D186" s="271">
        <f>0</f>
        <v>0</v>
      </c>
      <c r="E186" s="271">
        <f>0</f>
        <v>0</v>
      </c>
      <c r="F186" s="271">
        <f>0</f>
        <v>0</v>
      </c>
      <c r="G186" s="271">
        <f>0</f>
        <v>0</v>
      </c>
      <c r="H186" s="271">
        <f>0</f>
        <v>0</v>
      </c>
      <c r="I186" s="271">
        <f>0</f>
        <v>0</v>
      </c>
      <c r="J186" s="271">
        <f>0</f>
        <v>0</v>
      </c>
      <c r="K186" s="272">
        <f t="shared" si="21"/>
        <v>0</v>
      </c>
      <c r="L186" s="271">
        <f>0</f>
        <v>0</v>
      </c>
      <c r="M186" s="272">
        <f t="shared" si="22"/>
        <v>0</v>
      </c>
    </row>
    <row r="187" spans="1:13" ht="63">
      <c r="A187" s="210"/>
      <c r="B187" s="39" t="s">
        <v>175</v>
      </c>
      <c r="C187" s="273">
        <v>2754.1</v>
      </c>
      <c r="D187" s="273">
        <v>0</v>
      </c>
      <c r="E187" s="273">
        <v>0</v>
      </c>
      <c r="F187" s="273">
        <v>0</v>
      </c>
      <c r="G187" s="273">
        <v>0</v>
      </c>
      <c r="H187" s="273">
        <v>0</v>
      </c>
      <c r="I187" s="273">
        <v>0</v>
      </c>
      <c r="J187" s="273">
        <v>0</v>
      </c>
      <c r="K187" s="272">
        <f t="shared" si="21"/>
        <v>0</v>
      </c>
      <c r="L187" s="273">
        <f>C187</f>
        <v>2754.1</v>
      </c>
      <c r="M187" s="272">
        <f t="shared" si="22"/>
        <v>0</v>
      </c>
    </row>
    <row r="188" spans="1:13" ht="15.75" hidden="1">
      <c r="A188" s="210" t="s">
        <v>176</v>
      </c>
      <c r="B188" s="39" t="s">
        <v>6</v>
      </c>
      <c r="C188" s="271">
        <f>0</f>
        <v>0</v>
      </c>
      <c r="D188" s="271">
        <f>0</f>
        <v>0</v>
      </c>
      <c r="E188" s="271">
        <f>0</f>
        <v>0</v>
      </c>
      <c r="F188" s="271">
        <f>0</f>
        <v>0</v>
      </c>
      <c r="G188" s="271">
        <f>0</f>
        <v>0</v>
      </c>
      <c r="H188" s="271">
        <f>0</f>
        <v>0</v>
      </c>
      <c r="I188" s="271">
        <f>0</f>
        <v>0</v>
      </c>
      <c r="J188" s="271">
        <f>0</f>
        <v>0</v>
      </c>
      <c r="K188" s="272">
        <f t="shared" si="21"/>
        <v>0</v>
      </c>
      <c r="L188" s="271">
        <f>0</f>
        <v>0</v>
      </c>
      <c r="M188" s="272">
        <f t="shared" si="22"/>
        <v>0</v>
      </c>
    </row>
    <row r="189" spans="1:13" s="246" customFormat="1" ht="15.75">
      <c r="A189" s="206"/>
      <c r="B189" s="207" t="s">
        <v>323</v>
      </c>
      <c r="C189" s="267">
        <f>C6+C34+C36+C46+C69+C104+C106+C143+C155+C163+C172+C180+C182+C184</f>
        <v>685760.9</v>
      </c>
      <c r="D189" s="267">
        <f>D6+D34+D36+D46+D69+D104+D106+D143+D155+D163+D172+D180+D182+D184+0.1</f>
        <v>81365.9</v>
      </c>
      <c r="E189" s="267">
        <f>E6+E34+E36+E46+E69+E104+E106+E143+E155+E163+E172+E180+E182+E184-0.1</f>
        <v>5253.699999999999</v>
      </c>
      <c r="F189" s="267">
        <f>F6+F34+F36+F46+F69+F104+F106+F143+F155+F163+F172+F180+F182+F184+0.1</f>
        <v>4247.6</v>
      </c>
      <c r="G189" s="267">
        <f>G6+G34+G36+G46+G69+G104+G106+G143+G155+G163+G172+G180+G182+G184</f>
        <v>3848.8</v>
      </c>
      <c r="H189" s="267">
        <f>H6+H34+H36+H46+H69+H104+H106+H143+H155+H163+H172+H180+H182+H184-0.1</f>
        <v>5529.999999999999</v>
      </c>
      <c r="I189" s="267">
        <f>I6+I34+I36+I46+I69+I104+I106+I143+I155+I163+I172+I180+I182+I184</f>
        <v>3686.5</v>
      </c>
      <c r="J189" s="267">
        <f>J6+J34+J36+J46+J69+J104+J106+J143+J155+J163+J172+J180+J182+J184</f>
        <v>4640.299999999999</v>
      </c>
      <c r="K189" s="268">
        <f t="shared" si="21"/>
        <v>108572.8</v>
      </c>
      <c r="L189" s="267">
        <f>L6+L34+L36+L46+L69+L104+L106+L143+L155+L163+L172+L180+L182+L184</f>
        <v>2945.1</v>
      </c>
      <c r="M189" s="268">
        <f t="shared" si="22"/>
        <v>791388.6000000001</v>
      </c>
    </row>
    <row r="190" spans="1:13" ht="15.75">
      <c r="A190" s="210"/>
      <c r="B190" s="39" t="s">
        <v>177</v>
      </c>
      <c r="C190" s="273">
        <v>2754.1</v>
      </c>
      <c r="D190" s="273">
        <f>D15</f>
        <v>0</v>
      </c>
      <c r="E190" s="273">
        <f>E15</f>
        <v>35</v>
      </c>
      <c r="F190" s="273">
        <f>F15</f>
        <v>35</v>
      </c>
      <c r="G190" s="273">
        <f>G15</f>
        <v>25</v>
      </c>
      <c r="H190" s="273">
        <f>H15</f>
        <v>38</v>
      </c>
      <c r="I190" s="273">
        <f>I15</f>
        <v>28</v>
      </c>
      <c r="J190" s="273">
        <f>J15</f>
        <v>30</v>
      </c>
      <c r="K190" s="272">
        <f t="shared" si="21"/>
        <v>191</v>
      </c>
      <c r="L190" s="273">
        <f>SUM(C190:J190)</f>
        <v>2945.1</v>
      </c>
      <c r="M190" s="272">
        <f t="shared" si="22"/>
        <v>0</v>
      </c>
    </row>
    <row r="191" spans="1:13" ht="31.5">
      <c r="A191" s="210"/>
      <c r="B191" s="39" t="s">
        <v>178</v>
      </c>
      <c r="C191" s="271">
        <f>C189-C190</f>
        <v>683006.8</v>
      </c>
      <c r="D191" s="271">
        <f aca="true" t="shared" si="35" ref="D191:J191">D189-D190</f>
        <v>81365.9</v>
      </c>
      <c r="E191" s="271">
        <f t="shared" si="35"/>
        <v>5218.699999999999</v>
      </c>
      <c r="F191" s="271">
        <f t="shared" si="35"/>
        <v>4212.6</v>
      </c>
      <c r="G191" s="271">
        <f t="shared" si="35"/>
        <v>3823.8</v>
      </c>
      <c r="H191" s="271">
        <f t="shared" si="35"/>
        <v>5491.999999999999</v>
      </c>
      <c r="I191" s="271">
        <f t="shared" si="35"/>
        <v>3658.5</v>
      </c>
      <c r="J191" s="271">
        <f t="shared" si="35"/>
        <v>4610.299999999999</v>
      </c>
      <c r="K191" s="272">
        <f t="shared" si="21"/>
        <v>108381.8</v>
      </c>
      <c r="L191" s="271">
        <f>L189-L190</f>
        <v>0</v>
      </c>
      <c r="M191" s="272">
        <f t="shared" si="22"/>
        <v>791388.6000000001</v>
      </c>
    </row>
    <row r="192" spans="1:13" ht="31.5">
      <c r="A192" s="249"/>
      <c r="B192" s="250" t="s">
        <v>179</v>
      </c>
      <c r="C192" s="278">
        <v>-18500</v>
      </c>
      <c r="D192" s="278">
        <v>0</v>
      </c>
      <c r="E192" s="278">
        <v>0</v>
      </c>
      <c r="F192" s="278">
        <v>0</v>
      </c>
      <c r="G192" s="278">
        <v>0</v>
      </c>
      <c r="H192" s="278">
        <v>0</v>
      </c>
      <c r="I192" s="278">
        <v>0</v>
      </c>
      <c r="J192" s="278">
        <v>0</v>
      </c>
      <c r="K192" s="272">
        <f t="shared" si="21"/>
        <v>0</v>
      </c>
      <c r="L192" s="278">
        <v>9600</v>
      </c>
      <c r="M192" s="272">
        <f t="shared" si="22"/>
        <v>-28100</v>
      </c>
    </row>
    <row r="193" spans="1:13" ht="47.25">
      <c r="A193" s="249"/>
      <c r="B193" s="250" t="s">
        <v>180</v>
      </c>
      <c r="C193" s="278">
        <f>C194+C195+C196+C197+C198</f>
        <v>18500</v>
      </c>
      <c r="D193" s="278">
        <f aca="true" t="shared" si="36" ref="D193:J193">D194+D195+D196+D197+D198</f>
        <v>0</v>
      </c>
      <c r="E193" s="278">
        <f t="shared" si="36"/>
        <v>0</v>
      </c>
      <c r="F193" s="278">
        <f t="shared" si="36"/>
        <v>0</v>
      </c>
      <c r="G193" s="278">
        <f t="shared" si="36"/>
        <v>0</v>
      </c>
      <c r="H193" s="278">
        <f t="shared" si="36"/>
        <v>0</v>
      </c>
      <c r="I193" s="278">
        <f t="shared" si="36"/>
        <v>0</v>
      </c>
      <c r="J193" s="278">
        <f t="shared" si="36"/>
        <v>0</v>
      </c>
      <c r="K193" s="272">
        <f t="shared" si="21"/>
        <v>0</v>
      </c>
      <c r="L193" s="278">
        <f>L194+L195+L196+L197+L198</f>
        <v>0</v>
      </c>
      <c r="M193" s="272">
        <f t="shared" si="22"/>
        <v>18500</v>
      </c>
    </row>
    <row r="194" spans="1:13" ht="47.25">
      <c r="A194" s="224" t="s">
        <v>3</v>
      </c>
      <c r="B194" s="39" t="s">
        <v>181</v>
      </c>
      <c r="C194" s="271">
        <v>36300</v>
      </c>
      <c r="D194" s="271">
        <f>0</f>
        <v>0</v>
      </c>
      <c r="E194" s="271">
        <f>0</f>
        <v>0</v>
      </c>
      <c r="F194" s="271">
        <f>0</f>
        <v>0</v>
      </c>
      <c r="G194" s="271">
        <f>0</f>
        <v>0</v>
      </c>
      <c r="H194" s="271">
        <f>0</f>
        <v>0</v>
      </c>
      <c r="I194" s="271">
        <f>0</f>
        <v>0</v>
      </c>
      <c r="J194" s="271">
        <f>0</f>
        <v>0</v>
      </c>
      <c r="K194" s="272">
        <f t="shared" si="21"/>
        <v>0</v>
      </c>
      <c r="L194" s="271">
        <f>0</f>
        <v>0</v>
      </c>
      <c r="M194" s="272">
        <f t="shared" si="22"/>
        <v>36300</v>
      </c>
    </row>
    <row r="195" spans="1:13" ht="47.25">
      <c r="A195" s="210" t="s">
        <v>0</v>
      </c>
      <c r="B195" s="41" t="s">
        <v>182</v>
      </c>
      <c r="C195" s="271">
        <v>-17800</v>
      </c>
      <c r="D195" s="271">
        <v>0</v>
      </c>
      <c r="E195" s="271">
        <v>0</v>
      </c>
      <c r="F195" s="271">
        <v>0</v>
      </c>
      <c r="G195" s="271">
        <v>0</v>
      </c>
      <c r="H195" s="271">
        <v>0</v>
      </c>
      <c r="I195" s="271">
        <v>0</v>
      </c>
      <c r="J195" s="271">
        <v>0</v>
      </c>
      <c r="K195" s="272">
        <f t="shared" si="21"/>
        <v>0</v>
      </c>
      <c r="L195" s="271">
        <v>0</v>
      </c>
      <c r="M195" s="272">
        <f t="shared" si="22"/>
        <v>-17800</v>
      </c>
    </row>
    <row r="196" spans="1:13" ht="78.75">
      <c r="A196" s="225" t="s">
        <v>5</v>
      </c>
      <c r="B196" s="41" t="s">
        <v>10</v>
      </c>
      <c r="C196" s="271">
        <v>0</v>
      </c>
      <c r="D196" s="271">
        <v>0</v>
      </c>
      <c r="E196" s="271">
        <v>0</v>
      </c>
      <c r="F196" s="271">
        <v>0</v>
      </c>
      <c r="G196" s="271">
        <v>0</v>
      </c>
      <c r="H196" s="271">
        <v>0</v>
      </c>
      <c r="I196" s="271">
        <v>0</v>
      </c>
      <c r="J196" s="271">
        <v>0</v>
      </c>
      <c r="K196" s="272">
        <f t="shared" si="21"/>
        <v>0</v>
      </c>
      <c r="L196" s="271">
        <v>0</v>
      </c>
      <c r="M196" s="272">
        <f t="shared" si="22"/>
        <v>0</v>
      </c>
    </row>
    <row r="197" spans="1:13" ht="78.75">
      <c r="A197" s="225" t="s">
        <v>183</v>
      </c>
      <c r="B197" s="41" t="s">
        <v>4</v>
      </c>
      <c r="C197" s="271">
        <v>0</v>
      </c>
      <c r="D197" s="271">
        <v>0</v>
      </c>
      <c r="E197" s="271">
        <v>0</v>
      </c>
      <c r="F197" s="271">
        <v>0</v>
      </c>
      <c r="G197" s="271">
        <v>0</v>
      </c>
      <c r="H197" s="271">
        <v>0</v>
      </c>
      <c r="I197" s="271">
        <v>0</v>
      </c>
      <c r="J197" s="271">
        <v>0</v>
      </c>
      <c r="K197" s="272">
        <f t="shared" si="21"/>
        <v>0</v>
      </c>
      <c r="L197" s="271">
        <v>0</v>
      </c>
      <c r="M197" s="272">
        <f t="shared" si="22"/>
        <v>0</v>
      </c>
    </row>
    <row r="198" spans="1:13" ht="15.75">
      <c r="A198" s="210"/>
      <c r="B198" s="40" t="s">
        <v>184</v>
      </c>
      <c r="C198" s="271">
        <v>0</v>
      </c>
      <c r="D198" s="271">
        <v>0</v>
      </c>
      <c r="E198" s="271">
        <v>0</v>
      </c>
      <c r="F198" s="271">
        <v>0</v>
      </c>
      <c r="G198" s="271">
        <v>0</v>
      </c>
      <c r="H198" s="271">
        <v>0</v>
      </c>
      <c r="I198" s="271">
        <v>0</v>
      </c>
      <c r="J198" s="271">
        <v>0</v>
      </c>
      <c r="K198" s="272">
        <f t="shared" si="21"/>
        <v>0</v>
      </c>
      <c r="L198" s="271">
        <v>0</v>
      </c>
      <c r="M198" s="272">
        <f t="shared" si="22"/>
        <v>0</v>
      </c>
    </row>
    <row r="199" spans="1:3" ht="15.75">
      <c r="A199" s="251"/>
      <c r="B199" s="252"/>
      <c r="C199" s="253"/>
    </row>
    <row r="200" spans="1:3" ht="15.75">
      <c r="A200" s="251"/>
      <c r="B200" s="252"/>
      <c r="C200" s="253"/>
    </row>
    <row r="201" spans="1:3" ht="15.75">
      <c r="A201" s="251"/>
      <c r="B201" s="252"/>
      <c r="C201" s="253"/>
    </row>
  </sheetData>
  <sheetProtection/>
  <mergeCells count="2">
    <mergeCell ref="A3:M3"/>
    <mergeCell ref="A31:A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2018-11-22T12:04:16Z</cp:lastPrinted>
  <dcterms:created xsi:type="dcterms:W3CDTF">1996-10-08T23:32:33Z</dcterms:created>
  <dcterms:modified xsi:type="dcterms:W3CDTF">2018-11-22T13:50:00Z</dcterms:modified>
  <cp:category/>
  <cp:version/>
  <cp:contentType/>
  <cp:contentStatus/>
</cp:coreProperties>
</file>